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3256" windowHeight="12528"/>
  </bookViews>
  <sheets>
    <sheet name="PADOVA" sheetId="1" r:id="rId1"/>
    <sheet name="BELLUNO" sheetId="2" r:id="rId2"/>
    <sheet name="VICENZA" sheetId="5" r:id="rId3"/>
    <sheet name="VENEZIA" sheetId="6" r:id="rId4"/>
    <sheet name="VERONA" sheetId="4" r:id="rId5"/>
    <sheet name="TREVISO" sheetId="3" r:id="rId6"/>
    <sheet name="ROVIGO" sheetId="7" r:id="rId7"/>
  </sheets>
  <definedNames>
    <definedName name="_xlnm._FilterDatabase" localSheetId="1" hidden="1">BELLUNO!$A$4:$K$4</definedName>
    <definedName name="_xlnm._FilterDatabase" localSheetId="0" hidden="1">PADOVA!$A$4:$K$4</definedName>
    <definedName name="_xlnm._FilterDatabase" localSheetId="6" hidden="1">ROVIGO!$A$4:$K$4</definedName>
    <definedName name="_xlnm._FilterDatabase" localSheetId="5" hidden="1">TREVISO!$A$4:$K$4</definedName>
    <definedName name="_xlnm._FilterDatabase" localSheetId="3" hidden="1">VENEZIA!$A$3:$K$3</definedName>
    <definedName name="_xlnm._FilterDatabase" localSheetId="4" hidden="1">VERONA!$A$4:$K$4</definedName>
    <definedName name="_xlnm._FilterDatabase" localSheetId="2" hidden="1">VICENZA!$A$4:$K$4</definedName>
  </definedNames>
  <calcPr calcId="145621"/>
</workbook>
</file>

<file path=xl/calcChain.xml><?xml version="1.0" encoding="utf-8"?>
<calcChain xmlns="http://schemas.openxmlformats.org/spreadsheetml/2006/main">
  <c r="H60" i="7" l="1"/>
  <c r="G60" i="7"/>
  <c r="H59" i="7"/>
  <c r="G59" i="7"/>
  <c r="H58" i="7"/>
  <c r="G58" i="7"/>
  <c r="H57" i="7"/>
  <c r="G57" i="7"/>
  <c r="H56" i="7"/>
  <c r="G56" i="7"/>
  <c r="H55" i="7"/>
  <c r="G55" i="7"/>
  <c r="H54" i="7"/>
  <c r="G54" i="7"/>
  <c r="H53" i="7"/>
  <c r="G53" i="7"/>
  <c r="H52" i="7"/>
  <c r="G52" i="7"/>
  <c r="H51" i="7"/>
  <c r="G51" i="7"/>
  <c r="H50" i="7"/>
  <c r="G50" i="7"/>
  <c r="H49" i="7"/>
  <c r="G49" i="7"/>
  <c r="H48" i="7"/>
  <c r="G48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569" i="6" l="1"/>
  <c r="G569" i="6"/>
  <c r="H568" i="6"/>
  <c r="G568" i="6"/>
  <c r="H567" i="6"/>
  <c r="G567" i="6"/>
  <c r="H566" i="6"/>
  <c r="G566" i="6"/>
  <c r="H565" i="6"/>
  <c r="G565" i="6"/>
  <c r="H564" i="6"/>
  <c r="G564" i="6"/>
  <c r="H563" i="6"/>
  <c r="G563" i="6"/>
  <c r="H562" i="6"/>
  <c r="G562" i="6"/>
  <c r="H561" i="6"/>
  <c r="G561" i="6"/>
  <c r="H560" i="6"/>
  <c r="G560" i="6"/>
  <c r="H559" i="6"/>
  <c r="G559" i="6"/>
  <c r="H558" i="6"/>
  <c r="G558" i="6"/>
  <c r="H557" i="6"/>
  <c r="G557" i="6"/>
  <c r="H556" i="6"/>
  <c r="G556" i="6"/>
  <c r="H555" i="6"/>
  <c r="G555" i="6"/>
  <c r="H554" i="6"/>
  <c r="G554" i="6"/>
  <c r="H553" i="6"/>
  <c r="G553" i="6"/>
  <c r="H552" i="6"/>
  <c r="G552" i="6"/>
  <c r="H551" i="6"/>
  <c r="G551" i="6"/>
  <c r="H550" i="6"/>
  <c r="G550" i="6"/>
  <c r="H549" i="6"/>
  <c r="G549" i="6"/>
  <c r="H548" i="6"/>
  <c r="G548" i="6"/>
  <c r="H547" i="6"/>
  <c r="G547" i="6"/>
  <c r="H546" i="6"/>
  <c r="G546" i="6"/>
  <c r="H545" i="6"/>
  <c r="G545" i="6"/>
  <c r="H544" i="6"/>
  <c r="G544" i="6"/>
  <c r="H543" i="6"/>
  <c r="G543" i="6"/>
  <c r="H542" i="6"/>
  <c r="G542" i="6"/>
  <c r="H541" i="6"/>
  <c r="G541" i="6"/>
  <c r="H540" i="6"/>
  <c r="G540" i="6"/>
  <c r="H539" i="6"/>
  <c r="G539" i="6"/>
  <c r="H538" i="6"/>
  <c r="G538" i="6"/>
  <c r="H537" i="6"/>
  <c r="G537" i="6"/>
  <c r="H536" i="6"/>
  <c r="G536" i="6"/>
  <c r="H535" i="6"/>
  <c r="G535" i="6"/>
  <c r="H534" i="6"/>
  <c r="G534" i="6"/>
  <c r="H533" i="6"/>
  <c r="G533" i="6"/>
  <c r="H532" i="6"/>
  <c r="G532" i="6"/>
  <c r="H531" i="6"/>
  <c r="G531" i="6"/>
  <c r="H530" i="6"/>
  <c r="G530" i="6"/>
  <c r="H529" i="6"/>
  <c r="G529" i="6"/>
  <c r="H528" i="6"/>
  <c r="G528" i="6"/>
  <c r="H527" i="6"/>
  <c r="G527" i="6"/>
  <c r="H526" i="6"/>
  <c r="G526" i="6"/>
  <c r="H525" i="6"/>
  <c r="G525" i="6"/>
  <c r="H524" i="6"/>
  <c r="G524" i="6"/>
  <c r="H523" i="6"/>
  <c r="G523" i="6"/>
  <c r="H522" i="6"/>
  <c r="G522" i="6"/>
  <c r="H521" i="6"/>
  <c r="G521" i="6"/>
  <c r="H520" i="6"/>
  <c r="G520" i="6"/>
  <c r="H519" i="6"/>
  <c r="G519" i="6"/>
  <c r="H518" i="6"/>
  <c r="G518" i="6"/>
  <c r="H517" i="6"/>
  <c r="G517" i="6"/>
  <c r="H516" i="6"/>
  <c r="G516" i="6"/>
  <c r="H515" i="6"/>
  <c r="G515" i="6"/>
  <c r="H514" i="6"/>
  <c r="G514" i="6"/>
  <c r="H513" i="6"/>
  <c r="G513" i="6"/>
  <c r="H512" i="6"/>
  <c r="G512" i="6"/>
  <c r="H511" i="6"/>
  <c r="G511" i="6"/>
  <c r="H510" i="6"/>
  <c r="G510" i="6"/>
  <c r="H509" i="6"/>
  <c r="G509" i="6"/>
  <c r="H508" i="6"/>
  <c r="G508" i="6"/>
  <c r="H507" i="6"/>
  <c r="G507" i="6"/>
  <c r="H506" i="6"/>
  <c r="G506" i="6"/>
  <c r="H505" i="6"/>
  <c r="G505" i="6"/>
  <c r="H504" i="6"/>
  <c r="G504" i="6"/>
  <c r="H503" i="6"/>
  <c r="G503" i="6"/>
  <c r="H502" i="6"/>
  <c r="G502" i="6"/>
  <c r="H501" i="6"/>
  <c r="G501" i="6"/>
  <c r="H500" i="6"/>
  <c r="G500" i="6"/>
  <c r="H499" i="6"/>
  <c r="G499" i="6"/>
  <c r="H498" i="6"/>
  <c r="G498" i="6"/>
  <c r="H497" i="6"/>
  <c r="G497" i="6"/>
  <c r="H496" i="6"/>
  <c r="G496" i="6"/>
  <c r="H495" i="6"/>
  <c r="G495" i="6"/>
  <c r="H494" i="6"/>
  <c r="G494" i="6"/>
  <c r="H493" i="6"/>
  <c r="G493" i="6"/>
  <c r="H492" i="6"/>
  <c r="G492" i="6"/>
  <c r="H491" i="6"/>
  <c r="G491" i="6"/>
  <c r="H490" i="6"/>
  <c r="G490" i="6"/>
  <c r="H489" i="6"/>
  <c r="G489" i="6"/>
  <c r="H488" i="6"/>
  <c r="G488" i="6"/>
  <c r="H487" i="6"/>
  <c r="G487" i="6"/>
  <c r="H486" i="6"/>
  <c r="G486" i="6"/>
  <c r="H485" i="6"/>
  <c r="G485" i="6"/>
  <c r="H484" i="6"/>
  <c r="G484" i="6"/>
  <c r="H483" i="6"/>
  <c r="G483" i="6"/>
  <c r="H482" i="6"/>
  <c r="G482" i="6"/>
  <c r="H481" i="6"/>
  <c r="G481" i="6"/>
  <c r="H480" i="6"/>
  <c r="G480" i="6"/>
  <c r="H479" i="6"/>
  <c r="G479" i="6"/>
  <c r="H478" i="6"/>
  <c r="G478" i="6"/>
  <c r="H477" i="6"/>
  <c r="G477" i="6"/>
  <c r="H476" i="6"/>
  <c r="G476" i="6"/>
  <c r="H475" i="6"/>
  <c r="G475" i="6"/>
  <c r="H474" i="6"/>
  <c r="G474" i="6"/>
  <c r="H473" i="6"/>
  <c r="G473" i="6"/>
  <c r="H472" i="6"/>
  <c r="G472" i="6"/>
  <c r="H471" i="6"/>
  <c r="G471" i="6"/>
  <c r="H470" i="6"/>
  <c r="G470" i="6"/>
  <c r="H469" i="6"/>
  <c r="G469" i="6"/>
  <c r="H468" i="6"/>
  <c r="G468" i="6"/>
  <c r="H467" i="6"/>
  <c r="G467" i="6"/>
  <c r="H466" i="6"/>
  <c r="G466" i="6"/>
  <c r="H465" i="6"/>
  <c r="G465" i="6"/>
  <c r="H464" i="6"/>
  <c r="G464" i="6"/>
  <c r="H463" i="6"/>
  <c r="G463" i="6"/>
  <c r="H462" i="6"/>
  <c r="G462" i="6"/>
  <c r="H461" i="6"/>
  <c r="G461" i="6"/>
  <c r="H460" i="6"/>
  <c r="G460" i="6"/>
  <c r="H459" i="6"/>
  <c r="G459" i="6"/>
  <c r="H458" i="6"/>
  <c r="G458" i="6"/>
  <c r="H457" i="6"/>
  <c r="G457" i="6"/>
  <c r="H456" i="6"/>
  <c r="G456" i="6"/>
  <c r="H455" i="6"/>
  <c r="G455" i="6"/>
  <c r="H454" i="6"/>
  <c r="G454" i="6"/>
  <c r="H453" i="6"/>
  <c r="G453" i="6"/>
  <c r="H452" i="6"/>
  <c r="G452" i="6"/>
  <c r="H451" i="6"/>
  <c r="G451" i="6"/>
  <c r="H450" i="6"/>
  <c r="G450" i="6"/>
  <c r="H449" i="6"/>
  <c r="G449" i="6"/>
  <c r="H448" i="6"/>
  <c r="G448" i="6"/>
  <c r="H447" i="6"/>
  <c r="G447" i="6"/>
  <c r="H446" i="6"/>
  <c r="G446" i="6"/>
  <c r="H445" i="6"/>
  <c r="G445" i="6"/>
  <c r="H444" i="6"/>
  <c r="G444" i="6"/>
  <c r="H443" i="6"/>
  <c r="G443" i="6"/>
  <c r="H442" i="6"/>
  <c r="G442" i="6"/>
  <c r="H441" i="6"/>
  <c r="G441" i="6"/>
  <c r="H440" i="6"/>
  <c r="G440" i="6"/>
  <c r="H439" i="6"/>
  <c r="G439" i="6"/>
  <c r="H438" i="6"/>
  <c r="G438" i="6"/>
  <c r="H437" i="6"/>
  <c r="G437" i="6"/>
  <c r="H436" i="6"/>
  <c r="G436" i="6"/>
  <c r="H435" i="6"/>
  <c r="G435" i="6"/>
  <c r="H434" i="6"/>
  <c r="G434" i="6"/>
  <c r="H433" i="6"/>
  <c r="G433" i="6"/>
  <c r="H432" i="6"/>
  <c r="G432" i="6"/>
  <c r="H431" i="6"/>
  <c r="G431" i="6"/>
  <c r="H430" i="6"/>
  <c r="G430" i="6"/>
  <c r="H429" i="6"/>
  <c r="G429" i="6"/>
  <c r="H428" i="6"/>
  <c r="G428" i="6"/>
  <c r="H427" i="6"/>
  <c r="G427" i="6"/>
  <c r="H426" i="6"/>
  <c r="G426" i="6"/>
  <c r="H425" i="6"/>
  <c r="G425" i="6"/>
  <c r="H424" i="6"/>
  <c r="G424" i="6"/>
  <c r="H423" i="6"/>
  <c r="G423" i="6"/>
  <c r="H422" i="6"/>
  <c r="G422" i="6"/>
  <c r="H421" i="6"/>
  <c r="G421" i="6"/>
  <c r="H420" i="6"/>
  <c r="G420" i="6"/>
  <c r="H419" i="6"/>
  <c r="G419" i="6"/>
  <c r="H418" i="6"/>
  <c r="G418" i="6"/>
  <c r="H417" i="6"/>
  <c r="G417" i="6"/>
  <c r="H416" i="6"/>
  <c r="G416" i="6"/>
  <c r="H415" i="6"/>
  <c r="G415" i="6"/>
  <c r="H414" i="6"/>
  <c r="G414" i="6"/>
  <c r="H413" i="6"/>
  <c r="G413" i="6"/>
  <c r="H412" i="6"/>
  <c r="G412" i="6"/>
  <c r="H411" i="6"/>
  <c r="G411" i="6"/>
  <c r="H410" i="6"/>
  <c r="G410" i="6"/>
  <c r="H409" i="6"/>
  <c r="G409" i="6"/>
  <c r="H408" i="6"/>
  <c r="G408" i="6"/>
  <c r="H407" i="6"/>
  <c r="G407" i="6"/>
  <c r="H406" i="6"/>
  <c r="G406" i="6"/>
  <c r="H405" i="6"/>
  <c r="G405" i="6"/>
  <c r="H404" i="6"/>
  <c r="G404" i="6"/>
  <c r="H403" i="6"/>
  <c r="G403" i="6"/>
  <c r="H402" i="6"/>
  <c r="G402" i="6"/>
  <c r="H401" i="6"/>
  <c r="G401" i="6"/>
  <c r="H400" i="6"/>
  <c r="G400" i="6"/>
  <c r="H399" i="6"/>
  <c r="G399" i="6"/>
  <c r="H398" i="6"/>
  <c r="G398" i="6"/>
  <c r="H397" i="6"/>
  <c r="G397" i="6"/>
  <c r="H396" i="6"/>
  <c r="G396" i="6"/>
  <c r="H395" i="6"/>
  <c r="G395" i="6"/>
  <c r="H394" i="6"/>
  <c r="G394" i="6"/>
  <c r="H393" i="6"/>
  <c r="G393" i="6"/>
  <c r="H392" i="6"/>
  <c r="G392" i="6"/>
  <c r="H391" i="6"/>
  <c r="G391" i="6"/>
  <c r="H390" i="6"/>
  <c r="G390" i="6"/>
  <c r="H389" i="6"/>
  <c r="G389" i="6"/>
  <c r="H388" i="6"/>
  <c r="G388" i="6"/>
  <c r="H387" i="6"/>
  <c r="G387" i="6"/>
  <c r="H386" i="6"/>
  <c r="G386" i="6"/>
  <c r="H385" i="6"/>
  <c r="G385" i="6"/>
  <c r="H384" i="6"/>
  <c r="G384" i="6"/>
  <c r="H383" i="6"/>
  <c r="G383" i="6"/>
  <c r="H382" i="6"/>
  <c r="G382" i="6"/>
  <c r="H381" i="6"/>
  <c r="G381" i="6"/>
  <c r="H380" i="6"/>
  <c r="G380" i="6"/>
  <c r="H379" i="6"/>
  <c r="G379" i="6"/>
  <c r="H378" i="6"/>
  <c r="G378" i="6"/>
  <c r="H377" i="6"/>
  <c r="G377" i="6"/>
  <c r="H376" i="6"/>
  <c r="G376" i="6"/>
  <c r="H375" i="6"/>
  <c r="G375" i="6"/>
  <c r="H374" i="6"/>
  <c r="G374" i="6"/>
  <c r="H373" i="6"/>
  <c r="G373" i="6"/>
  <c r="H372" i="6"/>
  <c r="G372" i="6"/>
  <c r="H371" i="6"/>
  <c r="G371" i="6"/>
  <c r="H370" i="6"/>
  <c r="G370" i="6"/>
  <c r="H369" i="6"/>
  <c r="G369" i="6"/>
  <c r="H368" i="6"/>
  <c r="G368" i="6"/>
  <c r="H367" i="6"/>
  <c r="G367" i="6"/>
  <c r="H366" i="6"/>
  <c r="G366" i="6"/>
  <c r="H365" i="6"/>
  <c r="G365" i="6"/>
  <c r="H364" i="6"/>
  <c r="G364" i="6"/>
  <c r="H363" i="6"/>
  <c r="G363" i="6"/>
  <c r="H362" i="6"/>
  <c r="G362" i="6"/>
  <c r="H361" i="6"/>
  <c r="G361" i="6"/>
  <c r="H360" i="6"/>
  <c r="G360" i="6"/>
  <c r="H359" i="6"/>
  <c r="G359" i="6"/>
  <c r="H358" i="6"/>
  <c r="G358" i="6"/>
  <c r="H357" i="6"/>
  <c r="G357" i="6"/>
  <c r="H356" i="6"/>
  <c r="G356" i="6"/>
  <c r="H355" i="6"/>
  <c r="G355" i="6"/>
  <c r="H354" i="6"/>
  <c r="G354" i="6"/>
  <c r="H353" i="6"/>
  <c r="G353" i="6"/>
  <c r="H352" i="6"/>
  <c r="G352" i="6"/>
  <c r="H351" i="6"/>
  <c r="G351" i="6"/>
  <c r="H350" i="6"/>
  <c r="G350" i="6"/>
  <c r="H349" i="6"/>
  <c r="G349" i="6"/>
  <c r="H348" i="6"/>
  <c r="G348" i="6"/>
  <c r="H347" i="6"/>
  <c r="G347" i="6"/>
  <c r="H346" i="6"/>
  <c r="G346" i="6"/>
  <c r="H345" i="6"/>
  <c r="G345" i="6"/>
  <c r="H344" i="6"/>
  <c r="G344" i="6"/>
  <c r="H343" i="6"/>
  <c r="G343" i="6"/>
  <c r="H342" i="6"/>
  <c r="G342" i="6"/>
  <c r="H341" i="6"/>
  <c r="G341" i="6"/>
  <c r="H340" i="6"/>
  <c r="G340" i="6"/>
  <c r="H339" i="6"/>
  <c r="G339" i="6"/>
  <c r="H338" i="6"/>
  <c r="G338" i="6"/>
  <c r="H337" i="6"/>
  <c r="G337" i="6"/>
  <c r="H336" i="6"/>
  <c r="G336" i="6"/>
  <c r="H335" i="6"/>
  <c r="G335" i="6"/>
  <c r="H334" i="6"/>
  <c r="G334" i="6"/>
  <c r="H333" i="6"/>
  <c r="G333" i="6"/>
  <c r="H332" i="6"/>
  <c r="G332" i="6"/>
  <c r="H331" i="6"/>
  <c r="G331" i="6"/>
  <c r="H330" i="6"/>
  <c r="G330" i="6"/>
  <c r="H329" i="6"/>
  <c r="G329" i="6"/>
  <c r="H328" i="6"/>
  <c r="G328" i="6"/>
  <c r="H327" i="6"/>
  <c r="G327" i="6"/>
  <c r="H326" i="6"/>
  <c r="G326" i="6"/>
  <c r="H325" i="6"/>
  <c r="G325" i="6"/>
  <c r="H324" i="6"/>
  <c r="G324" i="6"/>
  <c r="H323" i="6"/>
  <c r="G323" i="6"/>
  <c r="H322" i="6"/>
  <c r="G322" i="6"/>
  <c r="H321" i="6"/>
  <c r="G321" i="6"/>
  <c r="H320" i="6"/>
  <c r="G320" i="6"/>
  <c r="H319" i="6"/>
  <c r="G319" i="6"/>
  <c r="H318" i="6"/>
  <c r="G318" i="6"/>
  <c r="H317" i="6"/>
  <c r="G317" i="6"/>
  <c r="H316" i="6"/>
  <c r="G316" i="6"/>
  <c r="H315" i="6"/>
  <c r="G315" i="6"/>
  <c r="H314" i="6"/>
  <c r="G314" i="6"/>
  <c r="H313" i="6"/>
  <c r="G313" i="6"/>
  <c r="H312" i="6"/>
  <c r="G312" i="6"/>
  <c r="H311" i="6"/>
  <c r="G311" i="6"/>
  <c r="H310" i="6"/>
  <c r="G310" i="6"/>
  <c r="H309" i="6"/>
  <c r="G309" i="6"/>
  <c r="H308" i="6"/>
  <c r="G308" i="6"/>
  <c r="H307" i="6"/>
  <c r="G307" i="6"/>
  <c r="H306" i="6"/>
  <c r="G306" i="6"/>
  <c r="H305" i="6"/>
  <c r="G305" i="6"/>
  <c r="H304" i="6"/>
  <c r="G304" i="6"/>
  <c r="H303" i="6"/>
  <c r="G303" i="6"/>
  <c r="H302" i="6"/>
  <c r="G302" i="6"/>
  <c r="H301" i="6"/>
  <c r="G301" i="6"/>
  <c r="H300" i="6"/>
  <c r="G300" i="6"/>
  <c r="H299" i="6"/>
  <c r="G299" i="6"/>
  <c r="H298" i="6"/>
  <c r="G298" i="6"/>
  <c r="H297" i="6"/>
  <c r="G297" i="6"/>
  <c r="H296" i="6"/>
  <c r="G296" i="6"/>
  <c r="H295" i="6"/>
  <c r="G295" i="6"/>
  <c r="H294" i="6"/>
  <c r="G294" i="6"/>
  <c r="H293" i="6"/>
  <c r="G293" i="6"/>
  <c r="H292" i="6"/>
  <c r="G292" i="6"/>
  <c r="H291" i="6"/>
  <c r="G291" i="6"/>
  <c r="H290" i="6"/>
  <c r="G290" i="6"/>
  <c r="H289" i="6"/>
  <c r="G289" i="6"/>
  <c r="H288" i="6"/>
  <c r="G288" i="6"/>
  <c r="H287" i="6"/>
  <c r="G287" i="6"/>
  <c r="H286" i="6"/>
  <c r="G286" i="6"/>
  <c r="H285" i="6"/>
  <c r="G285" i="6"/>
  <c r="H284" i="6"/>
  <c r="G284" i="6"/>
  <c r="H283" i="6"/>
  <c r="G283" i="6"/>
  <c r="H282" i="6"/>
  <c r="G282" i="6"/>
  <c r="H281" i="6"/>
  <c r="G281" i="6"/>
  <c r="H280" i="6"/>
  <c r="G280" i="6"/>
  <c r="H279" i="6"/>
  <c r="G279" i="6"/>
  <c r="H278" i="6"/>
  <c r="G278" i="6"/>
  <c r="H277" i="6"/>
  <c r="G277" i="6"/>
  <c r="H276" i="6"/>
  <c r="G276" i="6"/>
  <c r="H275" i="6"/>
  <c r="G275" i="6"/>
  <c r="H274" i="6"/>
  <c r="G274" i="6"/>
  <c r="H273" i="6"/>
  <c r="G273" i="6"/>
  <c r="H272" i="6"/>
  <c r="G272" i="6"/>
  <c r="H271" i="6"/>
  <c r="G271" i="6"/>
  <c r="H270" i="6"/>
  <c r="G270" i="6"/>
  <c r="H269" i="6"/>
  <c r="G269" i="6"/>
  <c r="H268" i="6"/>
  <c r="G268" i="6"/>
  <c r="H267" i="6"/>
  <c r="G267" i="6"/>
  <c r="H266" i="6"/>
  <c r="G266" i="6"/>
  <c r="H265" i="6"/>
  <c r="G265" i="6"/>
  <c r="H264" i="6"/>
  <c r="G264" i="6"/>
  <c r="H263" i="6"/>
  <c r="G263" i="6"/>
  <c r="H262" i="6"/>
  <c r="G262" i="6"/>
  <c r="H261" i="6"/>
  <c r="G261" i="6"/>
  <c r="H260" i="6"/>
  <c r="G260" i="6"/>
  <c r="H259" i="6"/>
  <c r="G259" i="6"/>
  <c r="H258" i="6"/>
  <c r="G258" i="6"/>
  <c r="H257" i="6"/>
  <c r="G257" i="6"/>
  <c r="H256" i="6"/>
  <c r="G256" i="6"/>
  <c r="H255" i="6"/>
  <c r="G255" i="6"/>
  <c r="H254" i="6"/>
  <c r="G254" i="6"/>
  <c r="H253" i="6"/>
  <c r="G253" i="6"/>
  <c r="H252" i="6"/>
  <c r="G252" i="6"/>
  <c r="H251" i="6"/>
  <c r="G251" i="6"/>
  <c r="H250" i="6"/>
  <c r="G250" i="6"/>
  <c r="H249" i="6"/>
  <c r="G249" i="6"/>
  <c r="H248" i="6"/>
  <c r="G248" i="6"/>
  <c r="H247" i="6"/>
  <c r="G247" i="6"/>
  <c r="H246" i="6"/>
  <c r="G246" i="6"/>
  <c r="H245" i="6"/>
  <c r="G245" i="6"/>
  <c r="H244" i="6"/>
  <c r="G244" i="6"/>
  <c r="H243" i="6"/>
  <c r="G243" i="6"/>
  <c r="H242" i="6"/>
  <c r="G242" i="6"/>
  <c r="H241" i="6"/>
  <c r="G241" i="6"/>
  <c r="H240" i="6"/>
  <c r="G240" i="6"/>
  <c r="H239" i="6"/>
  <c r="G239" i="6"/>
  <c r="H238" i="6"/>
  <c r="G238" i="6"/>
  <c r="H237" i="6"/>
  <c r="G237" i="6"/>
  <c r="H236" i="6"/>
  <c r="G236" i="6"/>
  <c r="H235" i="6"/>
  <c r="G235" i="6"/>
  <c r="H234" i="6"/>
  <c r="G234" i="6"/>
  <c r="H233" i="6"/>
  <c r="G233" i="6"/>
  <c r="H232" i="6"/>
  <c r="G232" i="6"/>
  <c r="H231" i="6"/>
  <c r="G231" i="6"/>
  <c r="H230" i="6"/>
  <c r="G230" i="6"/>
  <c r="H229" i="6"/>
  <c r="G229" i="6"/>
  <c r="H228" i="6"/>
  <c r="G228" i="6"/>
  <c r="H227" i="6"/>
  <c r="G227" i="6"/>
  <c r="H226" i="6"/>
  <c r="G226" i="6"/>
  <c r="H225" i="6"/>
  <c r="G225" i="6"/>
  <c r="H224" i="6"/>
  <c r="G224" i="6"/>
  <c r="H223" i="6"/>
  <c r="G223" i="6"/>
  <c r="H222" i="6"/>
  <c r="G222" i="6"/>
  <c r="H221" i="6"/>
  <c r="G221" i="6"/>
  <c r="H220" i="6"/>
  <c r="G220" i="6"/>
  <c r="H219" i="6"/>
  <c r="G219" i="6"/>
  <c r="H218" i="6"/>
  <c r="G218" i="6"/>
  <c r="H217" i="6"/>
  <c r="G217" i="6"/>
  <c r="H216" i="6"/>
  <c r="G216" i="6"/>
  <c r="H215" i="6"/>
  <c r="G215" i="6"/>
  <c r="H214" i="6"/>
  <c r="G214" i="6"/>
  <c r="H213" i="6"/>
  <c r="G213" i="6"/>
  <c r="H212" i="6"/>
  <c r="G212" i="6"/>
  <c r="H211" i="6"/>
  <c r="G211" i="6"/>
  <c r="H210" i="6"/>
  <c r="G210" i="6"/>
  <c r="H209" i="6"/>
  <c r="G209" i="6"/>
  <c r="H208" i="6"/>
  <c r="G208" i="6"/>
  <c r="H207" i="6"/>
  <c r="G207" i="6"/>
  <c r="H206" i="6"/>
  <c r="G206" i="6"/>
  <c r="H205" i="6"/>
  <c r="G205" i="6"/>
  <c r="H204" i="6"/>
  <c r="G204" i="6"/>
  <c r="H203" i="6"/>
  <c r="G203" i="6"/>
  <c r="H202" i="6"/>
  <c r="G202" i="6"/>
  <c r="H201" i="6"/>
  <c r="G201" i="6"/>
  <c r="H200" i="6"/>
  <c r="G200" i="6"/>
  <c r="H199" i="6"/>
  <c r="G199" i="6"/>
  <c r="H198" i="6"/>
  <c r="G198" i="6"/>
  <c r="H197" i="6"/>
  <c r="G197" i="6"/>
  <c r="H196" i="6"/>
  <c r="G196" i="6"/>
  <c r="H195" i="6"/>
  <c r="G195" i="6"/>
  <c r="H194" i="6"/>
  <c r="G194" i="6"/>
  <c r="H193" i="6"/>
  <c r="G193" i="6"/>
  <c r="H192" i="6"/>
  <c r="G192" i="6"/>
  <c r="H191" i="6"/>
  <c r="G191" i="6"/>
  <c r="H190" i="6"/>
  <c r="G190" i="6"/>
  <c r="H189" i="6"/>
  <c r="G189" i="6"/>
  <c r="H188" i="6"/>
  <c r="G188" i="6"/>
  <c r="H187" i="6"/>
  <c r="G187" i="6"/>
  <c r="H186" i="6"/>
  <c r="G186" i="6"/>
  <c r="H185" i="6"/>
  <c r="G185" i="6"/>
  <c r="H184" i="6"/>
  <c r="G184" i="6"/>
  <c r="H183" i="6"/>
  <c r="G183" i="6"/>
  <c r="H182" i="6"/>
  <c r="G182" i="6"/>
  <c r="H181" i="6"/>
  <c r="G181" i="6"/>
  <c r="H180" i="6"/>
  <c r="G180" i="6"/>
  <c r="H179" i="6"/>
  <c r="G179" i="6"/>
  <c r="H178" i="6"/>
  <c r="G178" i="6"/>
  <c r="H177" i="6"/>
  <c r="G177" i="6"/>
  <c r="H176" i="6"/>
  <c r="G176" i="6"/>
  <c r="H175" i="6"/>
  <c r="G175" i="6"/>
  <c r="H174" i="6"/>
  <c r="G174" i="6"/>
  <c r="H173" i="6"/>
  <c r="G173" i="6"/>
  <c r="H172" i="6"/>
  <c r="G172" i="6"/>
  <c r="H171" i="6"/>
  <c r="G171" i="6"/>
  <c r="H170" i="6"/>
  <c r="G170" i="6"/>
  <c r="H169" i="6"/>
  <c r="G169" i="6"/>
  <c r="H168" i="6"/>
  <c r="G168" i="6"/>
  <c r="H167" i="6"/>
  <c r="G167" i="6"/>
  <c r="H166" i="6"/>
  <c r="G166" i="6"/>
  <c r="H165" i="6"/>
  <c r="G165" i="6"/>
  <c r="H164" i="6"/>
  <c r="G164" i="6"/>
  <c r="H163" i="6"/>
  <c r="G163" i="6"/>
  <c r="H162" i="6"/>
  <c r="G162" i="6"/>
  <c r="H161" i="6"/>
  <c r="G161" i="6"/>
  <c r="H160" i="6"/>
  <c r="G160" i="6"/>
  <c r="H159" i="6"/>
  <c r="G159" i="6"/>
  <c r="H158" i="6"/>
  <c r="G158" i="6"/>
  <c r="H157" i="6"/>
  <c r="G157" i="6"/>
  <c r="H156" i="6"/>
  <c r="G156" i="6"/>
  <c r="H155" i="6"/>
  <c r="G155" i="6"/>
  <c r="H154" i="6"/>
  <c r="G154" i="6"/>
  <c r="H153" i="6"/>
  <c r="G153" i="6"/>
  <c r="H152" i="6"/>
  <c r="G152" i="6"/>
  <c r="H151" i="6"/>
  <c r="G151" i="6"/>
  <c r="H150" i="6"/>
  <c r="G150" i="6"/>
  <c r="H149" i="6"/>
  <c r="G149" i="6"/>
  <c r="H148" i="6"/>
  <c r="G148" i="6"/>
  <c r="H147" i="6"/>
  <c r="G147" i="6"/>
  <c r="H146" i="6"/>
  <c r="G146" i="6"/>
  <c r="H145" i="6"/>
  <c r="G145" i="6"/>
  <c r="H144" i="6"/>
  <c r="G144" i="6"/>
  <c r="H143" i="6"/>
  <c r="G143" i="6"/>
  <c r="H142" i="6"/>
  <c r="G142" i="6"/>
  <c r="H141" i="6"/>
  <c r="G141" i="6"/>
  <c r="H140" i="6"/>
  <c r="G140" i="6"/>
  <c r="H139" i="6"/>
  <c r="G139" i="6"/>
  <c r="H138" i="6"/>
  <c r="G138" i="6"/>
  <c r="H137" i="6"/>
  <c r="G137" i="6"/>
  <c r="H136" i="6"/>
  <c r="G136" i="6"/>
  <c r="H135" i="6"/>
  <c r="G135" i="6"/>
  <c r="H134" i="6"/>
  <c r="G134" i="6"/>
  <c r="H133" i="6"/>
  <c r="G133" i="6"/>
  <c r="H132" i="6"/>
  <c r="G132" i="6"/>
  <c r="H131" i="6"/>
  <c r="G131" i="6"/>
  <c r="H130" i="6"/>
  <c r="G130" i="6"/>
  <c r="H129" i="6"/>
  <c r="G129" i="6"/>
  <c r="H128" i="6"/>
  <c r="G128" i="6"/>
  <c r="H127" i="6"/>
  <c r="G127" i="6"/>
  <c r="H126" i="6"/>
  <c r="G126" i="6"/>
  <c r="H125" i="6"/>
  <c r="G125" i="6"/>
  <c r="H124" i="6"/>
  <c r="G124" i="6"/>
  <c r="H123" i="6"/>
  <c r="G123" i="6"/>
  <c r="H122" i="6"/>
  <c r="G122" i="6"/>
  <c r="H121" i="6"/>
  <c r="G121" i="6"/>
  <c r="H120" i="6"/>
  <c r="G120" i="6"/>
  <c r="H119" i="6"/>
  <c r="G119" i="6"/>
  <c r="H118" i="6"/>
  <c r="G118" i="6"/>
  <c r="H117" i="6"/>
  <c r="G117" i="6"/>
  <c r="H116" i="6"/>
  <c r="G116" i="6"/>
  <c r="H115" i="6"/>
  <c r="G115" i="6"/>
  <c r="H114" i="6"/>
  <c r="G114" i="6"/>
  <c r="H113" i="6"/>
  <c r="G113" i="6"/>
  <c r="H112" i="6"/>
  <c r="G112" i="6"/>
  <c r="H111" i="6"/>
  <c r="G111" i="6"/>
  <c r="H110" i="6"/>
  <c r="G110" i="6"/>
  <c r="H109" i="6"/>
  <c r="G109" i="6"/>
  <c r="H108" i="6"/>
  <c r="G108" i="6"/>
  <c r="H107" i="6"/>
  <c r="G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H4" i="6"/>
  <c r="G4" i="6"/>
  <c r="H210" i="4" l="1"/>
  <c r="G210" i="4"/>
  <c r="H209" i="4"/>
  <c r="G209" i="4"/>
  <c r="H208" i="4"/>
  <c r="G208" i="4"/>
  <c r="H207" i="4"/>
  <c r="G207" i="4"/>
  <c r="H206" i="4"/>
  <c r="G206" i="4"/>
  <c r="H205" i="4"/>
  <c r="G205" i="4"/>
  <c r="H204" i="4"/>
  <c r="G204" i="4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395" i="3" l="1"/>
  <c r="G395" i="3"/>
  <c r="H394" i="3"/>
  <c r="G394" i="3"/>
  <c r="H393" i="3"/>
  <c r="G393" i="3"/>
  <c r="H392" i="3"/>
  <c r="G392" i="3"/>
  <c r="H391" i="3"/>
  <c r="G391" i="3"/>
  <c r="H390" i="3"/>
  <c r="G390" i="3"/>
  <c r="H389" i="3"/>
  <c r="G389" i="3"/>
  <c r="H388" i="3"/>
  <c r="G388" i="3"/>
  <c r="H387" i="3"/>
  <c r="G387" i="3"/>
  <c r="H386" i="3"/>
  <c r="G386" i="3"/>
  <c r="H385" i="3"/>
  <c r="G385" i="3"/>
  <c r="H384" i="3"/>
  <c r="G384" i="3"/>
  <c r="H383" i="3"/>
  <c r="G383" i="3"/>
  <c r="H382" i="3"/>
  <c r="G382" i="3"/>
  <c r="H381" i="3"/>
  <c r="G381" i="3"/>
  <c r="H380" i="3"/>
  <c r="G380" i="3"/>
  <c r="H379" i="3"/>
  <c r="G379" i="3"/>
  <c r="H378" i="3"/>
  <c r="G378" i="3"/>
  <c r="H377" i="3"/>
  <c r="G377" i="3"/>
  <c r="H376" i="3"/>
  <c r="G376" i="3"/>
  <c r="H375" i="3"/>
  <c r="G375" i="3"/>
  <c r="H374" i="3"/>
  <c r="G374" i="3"/>
  <c r="H373" i="3"/>
  <c r="G373" i="3"/>
  <c r="H372" i="3"/>
  <c r="G372" i="3"/>
  <c r="H371" i="3"/>
  <c r="G371" i="3"/>
  <c r="H370" i="3"/>
  <c r="G370" i="3"/>
  <c r="H369" i="3"/>
  <c r="G369" i="3"/>
  <c r="H368" i="3"/>
  <c r="G368" i="3"/>
  <c r="H367" i="3"/>
  <c r="G367" i="3"/>
  <c r="H366" i="3"/>
  <c r="G366" i="3"/>
  <c r="H365" i="3"/>
  <c r="G365" i="3"/>
  <c r="H364" i="3"/>
  <c r="G364" i="3"/>
  <c r="H363" i="3"/>
  <c r="G363" i="3"/>
  <c r="H362" i="3"/>
  <c r="G362" i="3"/>
  <c r="H361" i="3"/>
  <c r="G361" i="3"/>
  <c r="H360" i="3"/>
  <c r="G360" i="3"/>
  <c r="H359" i="3"/>
  <c r="G359" i="3"/>
  <c r="H358" i="3"/>
  <c r="G358" i="3"/>
  <c r="H357" i="3"/>
  <c r="G357" i="3"/>
  <c r="H356" i="3"/>
  <c r="G356" i="3"/>
  <c r="H355" i="3"/>
  <c r="G355" i="3"/>
  <c r="H354" i="3"/>
  <c r="G354" i="3"/>
  <c r="H353" i="3"/>
  <c r="G353" i="3"/>
  <c r="H352" i="3"/>
  <c r="G352" i="3"/>
  <c r="H351" i="3"/>
  <c r="G351" i="3"/>
  <c r="H350" i="3"/>
  <c r="G350" i="3"/>
  <c r="H349" i="3"/>
  <c r="G349" i="3"/>
  <c r="H348" i="3"/>
  <c r="G348" i="3"/>
  <c r="H347" i="3"/>
  <c r="G347" i="3"/>
  <c r="H346" i="3"/>
  <c r="G346" i="3"/>
  <c r="H345" i="3"/>
  <c r="G345" i="3"/>
  <c r="H344" i="3"/>
  <c r="G344" i="3"/>
  <c r="H343" i="3"/>
  <c r="G343" i="3"/>
  <c r="H342" i="3"/>
  <c r="G342" i="3"/>
  <c r="H341" i="3"/>
  <c r="G341" i="3"/>
  <c r="H340" i="3"/>
  <c r="G340" i="3"/>
  <c r="H339" i="3"/>
  <c r="G339" i="3"/>
  <c r="H338" i="3"/>
  <c r="G338" i="3"/>
  <c r="H337" i="3"/>
  <c r="G337" i="3"/>
  <c r="H336" i="3"/>
  <c r="G336" i="3"/>
  <c r="H335" i="3"/>
  <c r="G335" i="3"/>
  <c r="H334" i="3"/>
  <c r="G334" i="3"/>
  <c r="H333" i="3"/>
  <c r="G333" i="3"/>
  <c r="H332" i="3"/>
  <c r="G332" i="3"/>
  <c r="H331" i="3"/>
  <c r="G331" i="3"/>
  <c r="H330" i="3"/>
  <c r="G330" i="3"/>
  <c r="H329" i="3"/>
  <c r="G329" i="3"/>
  <c r="H328" i="3"/>
  <c r="G328" i="3"/>
  <c r="H327" i="3"/>
  <c r="G327" i="3"/>
  <c r="H326" i="3"/>
  <c r="G326" i="3"/>
  <c r="H325" i="3"/>
  <c r="G325" i="3"/>
  <c r="H324" i="3"/>
  <c r="G324" i="3"/>
  <c r="H323" i="3"/>
  <c r="G323" i="3"/>
  <c r="H322" i="3"/>
  <c r="G322" i="3"/>
  <c r="H321" i="3"/>
  <c r="G321" i="3"/>
  <c r="H320" i="3"/>
  <c r="G320" i="3"/>
  <c r="H319" i="3"/>
  <c r="G319" i="3"/>
  <c r="H318" i="3"/>
  <c r="G318" i="3"/>
  <c r="H317" i="3"/>
  <c r="G317" i="3"/>
  <c r="H316" i="3"/>
  <c r="G316" i="3"/>
  <c r="H315" i="3"/>
  <c r="G315" i="3"/>
  <c r="H314" i="3"/>
  <c r="G314" i="3"/>
  <c r="H313" i="3"/>
  <c r="G313" i="3"/>
  <c r="H312" i="3"/>
  <c r="G312" i="3"/>
  <c r="H311" i="3"/>
  <c r="G311" i="3"/>
  <c r="H310" i="3"/>
  <c r="G310" i="3"/>
  <c r="H309" i="3"/>
  <c r="G309" i="3"/>
  <c r="H308" i="3"/>
  <c r="G308" i="3"/>
  <c r="H307" i="3"/>
  <c r="G307" i="3"/>
  <c r="H306" i="3"/>
  <c r="G306" i="3"/>
  <c r="H305" i="3"/>
  <c r="G305" i="3"/>
  <c r="H304" i="3"/>
  <c r="G304" i="3"/>
  <c r="H303" i="3"/>
  <c r="G303" i="3"/>
  <c r="H302" i="3"/>
  <c r="G302" i="3"/>
  <c r="H301" i="3"/>
  <c r="G301" i="3"/>
  <c r="H300" i="3"/>
  <c r="G300" i="3"/>
  <c r="H299" i="3"/>
  <c r="G299" i="3"/>
  <c r="H298" i="3"/>
  <c r="G298" i="3"/>
  <c r="H297" i="3"/>
  <c r="G297" i="3"/>
  <c r="H296" i="3"/>
  <c r="G296" i="3"/>
  <c r="H295" i="3"/>
  <c r="G295" i="3"/>
  <c r="H294" i="3"/>
  <c r="G294" i="3"/>
  <c r="H293" i="3"/>
  <c r="G293" i="3"/>
  <c r="H292" i="3"/>
  <c r="G292" i="3"/>
  <c r="H291" i="3"/>
  <c r="G291" i="3"/>
  <c r="H290" i="3"/>
  <c r="G290" i="3"/>
  <c r="H289" i="3"/>
  <c r="G289" i="3"/>
  <c r="H288" i="3"/>
  <c r="G288" i="3"/>
  <c r="H287" i="3"/>
  <c r="G287" i="3"/>
  <c r="H286" i="3"/>
  <c r="G286" i="3"/>
  <c r="H285" i="3"/>
  <c r="G285" i="3"/>
  <c r="H284" i="3"/>
  <c r="G284" i="3"/>
  <c r="H283" i="3"/>
  <c r="G283" i="3"/>
  <c r="H282" i="3"/>
  <c r="G282" i="3"/>
  <c r="H281" i="3"/>
  <c r="G281" i="3"/>
  <c r="H280" i="3"/>
  <c r="G280" i="3"/>
  <c r="H279" i="3"/>
  <c r="G279" i="3"/>
  <c r="H278" i="3"/>
  <c r="G278" i="3"/>
  <c r="H277" i="3"/>
  <c r="G277" i="3"/>
  <c r="H276" i="3"/>
  <c r="G276" i="3"/>
  <c r="H275" i="3"/>
  <c r="G275" i="3"/>
  <c r="H274" i="3"/>
  <c r="G274" i="3"/>
  <c r="H273" i="3"/>
  <c r="G273" i="3"/>
  <c r="H272" i="3"/>
  <c r="G272" i="3"/>
  <c r="H271" i="3"/>
  <c r="G271" i="3"/>
  <c r="H270" i="3"/>
  <c r="G270" i="3"/>
  <c r="H269" i="3"/>
  <c r="G269" i="3"/>
  <c r="H268" i="3"/>
  <c r="G268" i="3"/>
  <c r="H267" i="3"/>
  <c r="G267" i="3"/>
  <c r="H266" i="3"/>
  <c r="G266" i="3"/>
  <c r="H265" i="3"/>
  <c r="G265" i="3"/>
  <c r="H264" i="3"/>
  <c r="G264" i="3"/>
  <c r="H263" i="3"/>
  <c r="G263" i="3"/>
  <c r="H262" i="3"/>
  <c r="G262" i="3"/>
  <c r="H261" i="3"/>
  <c r="G261" i="3"/>
  <c r="H260" i="3"/>
  <c r="G260" i="3"/>
  <c r="H259" i="3"/>
  <c r="G259" i="3"/>
  <c r="H258" i="3"/>
  <c r="G258" i="3"/>
  <c r="H257" i="3"/>
  <c r="G257" i="3"/>
  <c r="H256" i="3"/>
  <c r="G256" i="3"/>
  <c r="H255" i="3"/>
  <c r="G255" i="3"/>
  <c r="H254" i="3"/>
  <c r="G254" i="3"/>
  <c r="H253" i="3"/>
  <c r="G253" i="3"/>
  <c r="H252" i="3"/>
  <c r="G252" i="3"/>
  <c r="H251" i="3"/>
  <c r="G251" i="3"/>
  <c r="H250" i="3"/>
  <c r="G250" i="3"/>
  <c r="H249" i="3"/>
  <c r="G249" i="3"/>
  <c r="H248" i="3"/>
  <c r="G248" i="3"/>
  <c r="H247" i="3"/>
  <c r="G247" i="3"/>
  <c r="H246" i="3"/>
  <c r="G246" i="3"/>
  <c r="H245" i="3"/>
  <c r="G245" i="3"/>
  <c r="H244" i="3"/>
  <c r="G244" i="3"/>
  <c r="H243" i="3"/>
  <c r="G243" i="3"/>
  <c r="H242" i="3"/>
  <c r="G242" i="3"/>
  <c r="H241" i="3"/>
  <c r="G241" i="3"/>
  <c r="H240" i="3"/>
  <c r="G240" i="3"/>
  <c r="H239" i="3"/>
  <c r="G239" i="3"/>
  <c r="H238" i="3"/>
  <c r="G238" i="3"/>
  <c r="H237" i="3"/>
  <c r="G237" i="3"/>
  <c r="H236" i="3"/>
  <c r="G236" i="3"/>
  <c r="H235" i="3"/>
  <c r="G235" i="3"/>
  <c r="H234" i="3"/>
  <c r="G234" i="3"/>
  <c r="H233" i="3"/>
  <c r="G233" i="3"/>
  <c r="H232" i="3"/>
  <c r="G232" i="3"/>
  <c r="H231" i="3"/>
  <c r="G231" i="3"/>
  <c r="H230" i="3"/>
  <c r="G230" i="3"/>
  <c r="H229" i="3"/>
  <c r="G229" i="3"/>
  <c r="H228" i="3"/>
  <c r="G228" i="3"/>
  <c r="H227" i="3"/>
  <c r="G227" i="3"/>
  <c r="H226" i="3"/>
  <c r="G226" i="3"/>
  <c r="H225" i="3"/>
  <c r="G225" i="3"/>
  <c r="H224" i="3"/>
  <c r="G224" i="3"/>
  <c r="H223" i="3"/>
  <c r="G223" i="3"/>
  <c r="H222" i="3"/>
  <c r="G222" i="3"/>
  <c r="H221" i="3"/>
  <c r="G221" i="3"/>
  <c r="H220" i="3"/>
  <c r="G220" i="3"/>
  <c r="H219" i="3"/>
  <c r="G219" i="3"/>
  <c r="H218" i="3"/>
  <c r="G218" i="3"/>
  <c r="H217" i="3"/>
  <c r="G217" i="3"/>
  <c r="H216" i="3"/>
  <c r="G216" i="3"/>
  <c r="H215" i="3"/>
  <c r="G215" i="3"/>
  <c r="H214" i="3"/>
  <c r="G214" i="3"/>
  <c r="H213" i="3"/>
  <c r="G213" i="3"/>
  <c r="H212" i="3"/>
  <c r="G212" i="3"/>
  <c r="H211" i="3"/>
  <c r="G211" i="3"/>
  <c r="H210" i="3"/>
  <c r="G210" i="3"/>
  <c r="H209" i="3"/>
  <c r="G209" i="3"/>
  <c r="H208" i="3"/>
  <c r="G208" i="3"/>
  <c r="H207" i="3"/>
  <c r="G207" i="3"/>
  <c r="H206" i="3"/>
  <c r="G206" i="3"/>
  <c r="H205" i="3"/>
  <c r="G205" i="3"/>
  <c r="H204" i="3"/>
  <c r="G204" i="3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</calcChain>
</file>

<file path=xl/sharedStrings.xml><?xml version="1.0" encoding="utf-8"?>
<sst xmlns="http://schemas.openxmlformats.org/spreadsheetml/2006/main" count="18113" uniqueCount="5234">
  <si>
    <t>Ragione Sociale</t>
  </si>
  <si>
    <t>Nome dell esercizio</t>
  </si>
  <si>
    <t>Sigla Provincia</t>
  </si>
  <si>
    <t>Denominazione Comune</t>
  </si>
  <si>
    <t>Denominazione strada</t>
  </si>
  <si>
    <t>Civico</t>
  </si>
  <si>
    <t>CAP</t>
  </si>
  <si>
    <t>Regione</t>
  </si>
  <si>
    <t>Giornata di chiusura settimanale</t>
  </si>
  <si>
    <t>INTERSPAR</t>
  </si>
  <si>
    <t>PD</t>
  </si>
  <si>
    <t>ABANO TERME</t>
  </si>
  <si>
    <t>PIAZZA MICHELANGELO</t>
  </si>
  <si>
    <t>VENETO</t>
  </si>
  <si>
    <t>MAI</t>
  </si>
  <si>
    <t>AL VIALE BAR</t>
  </si>
  <si>
    <t>VIALE DELLE TERME</t>
  </si>
  <si>
    <t>GIOVEDI  POMERIGGIO</t>
  </si>
  <si>
    <t>LA VILLETTA</t>
  </si>
  <si>
    <t>VIA ROVERI</t>
  </si>
  <si>
    <t>DOMENICA  TUTTO IL GIORNO</t>
  </si>
  <si>
    <t>ALIBI CAFE CLUB</t>
  </si>
  <si>
    <t>GIALLO ARANCIO</t>
  </si>
  <si>
    <t>VIA ARMANDO DIAZ</t>
  </si>
  <si>
    <t>CA' DE' CORTI</t>
  </si>
  <si>
    <t>MANZONI</t>
  </si>
  <si>
    <t>VIA IV NOVEMBRE</t>
  </si>
  <si>
    <t>MERCOLEDI  TUTTO IL GIORNO</t>
  </si>
  <si>
    <t>GIAMBRA</t>
  </si>
  <si>
    <t>PIAZZA DEL MERCATO</t>
  </si>
  <si>
    <t>DOMENICA  TUTTO IL GIORNO  MERCOLEDI  POMERIGGIO</t>
  </si>
  <si>
    <t>BAR PASTICCERIA MERIDIANA</t>
  </si>
  <si>
    <t>PIAZZA DEL SOLE E DELLA PACE</t>
  </si>
  <si>
    <t>KRUSKA' PIZZERIA BIRRERIA</t>
  </si>
  <si>
    <t>AGNA</t>
  </si>
  <si>
    <t>VIA CHIESA</t>
  </si>
  <si>
    <t>MARTEDI  TUTTO IL GIORNO</t>
  </si>
  <si>
    <t>SUPER A&amp;O</t>
  </si>
  <si>
    <t>ALBIGNASEGO</t>
  </si>
  <si>
    <t>VIA RISORGIMENTO</t>
  </si>
  <si>
    <t>VIA GIOVANNI VERGA</t>
  </si>
  <si>
    <t>LA SORGENTE</t>
  </si>
  <si>
    <t>VIA XVI MARZO</t>
  </si>
  <si>
    <t>TUTTO IL GIORNO</t>
  </si>
  <si>
    <t>OBIZZI</t>
  </si>
  <si>
    <t>LARGO DEGLI OBIZZI</t>
  </si>
  <si>
    <t>L' ALBERO - TARANTELLA - KEBAB</t>
  </si>
  <si>
    <t>L'ARTE DELLA PASTICCERIA</t>
  </si>
  <si>
    <t>VIA ROMA</t>
  </si>
  <si>
    <t>CAFFE' VENETO</t>
  </si>
  <si>
    <t>MOVEMBIK</t>
  </si>
  <si>
    <t>VIA EUROPA</t>
  </si>
  <si>
    <t>LAZZARINI</t>
  </si>
  <si>
    <t>VIA CESARE BATTISTI</t>
  </si>
  <si>
    <t>EUROSPAR</t>
  </si>
  <si>
    <t>ANGUILLARA VENETA</t>
  </si>
  <si>
    <t>DA ROCCO E GABRIELLA</t>
  </si>
  <si>
    <t>ARRE</t>
  </si>
  <si>
    <t>LUNEDI  TUTTO IL GIORNO</t>
  </si>
  <si>
    <t>SORSI E MORSI</t>
  </si>
  <si>
    <t>BAGNOLI DI SOPRA</t>
  </si>
  <si>
    <t>VIA GIUSEPPE MAZZINI</t>
  </si>
  <si>
    <t>DOMENICA  TUTTO IL GIORNO    TUTTO IL GIORNO</t>
  </si>
  <si>
    <t>OSTERIA AL GALLO NERO</t>
  </si>
  <si>
    <t>BORGORICCO</t>
  </si>
  <si>
    <t>VIA DESMAN</t>
  </si>
  <si>
    <t>DOMENICA      TUTTO IL GIORNO</t>
  </si>
  <si>
    <t>AL PESSARETTO</t>
  </si>
  <si>
    <t>VENETA CHEF</t>
  </si>
  <si>
    <t>VIA GUGLIELMO MARCONI</t>
  </si>
  <si>
    <t>SABATO  MATTINO  DOMENICA  TUTTO IL GIORNO</t>
  </si>
  <si>
    <t>LA PROSCIUTTERIA</t>
  </si>
  <si>
    <t>BRUGINE</t>
  </si>
  <si>
    <t>VIA CIMITERO</t>
  </si>
  <si>
    <t>SABATO  POMERIGGIO</t>
  </si>
  <si>
    <t>OTTO.DUE CAFE'</t>
  </si>
  <si>
    <t>CADONEGHE</t>
  </si>
  <si>
    <t>PIAZZA INSURREZIONE</t>
  </si>
  <si>
    <t>DA GAMBARO</t>
  </si>
  <si>
    <t>VIA BAGNOLI</t>
  </si>
  <si>
    <t>GIRAMONDO</t>
  </si>
  <si>
    <t>VIA GIUSEPPE GARIBALDI</t>
  </si>
  <si>
    <t>ZEROCINQUE</t>
  </si>
  <si>
    <t>VIA GAETANO RIGOTTI</t>
  </si>
  <si>
    <t>AL PONTE</t>
  </si>
  <si>
    <t>CAMPO SAN MARTINO</t>
  </si>
  <si>
    <t>EUROSPESA</t>
  </si>
  <si>
    <t>VIA CASELLE</t>
  </si>
  <si>
    <t>GUSTO'</t>
  </si>
  <si>
    <t>CAMPODARSEGO</t>
  </si>
  <si>
    <t>VIA PIOGA</t>
  </si>
  <si>
    <t>RED FOX</t>
  </si>
  <si>
    <t>VIA ANTONIANA</t>
  </si>
  <si>
    <t>PATRIZIO BAR</t>
  </si>
  <si>
    <t>VIA JOHN FITZGERALD KENNEDY</t>
  </si>
  <si>
    <t>DOMENICA  TUTTO IL GIORNO  SABATO  POMERIGGIO</t>
  </si>
  <si>
    <t>LA CAMPAGNOLA</t>
  </si>
  <si>
    <t>VIA BAZZATI</t>
  </si>
  <si>
    <t>MERCOLEDI</t>
  </si>
  <si>
    <t>FAMILA RESCHIGLIANO</t>
  </si>
  <si>
    <t>VIA BASSA I</t>
  </si>
  <si>
    <t>DESPAR</t>
  </si>
  <si>
    <t>CAMPOSAMPIERO</t>
  </si>
  <si>
    <t>VIA FEDERICO CORDENONS</t>
  </si>
  <si>
    <t>VIA PASUBIO</t>
  </si>
  <si>
    <t>PIU' GUSTO</t>
  </si>
  <si>
    <t>VIA STRAELLE DI RUSTEGA</t>
  </si>
  <si>
    <t>VIA GIORGIONE</t>
  </si>
  <si>
    <t>AL CASTELLO</t>
  </si>
  <si>
    <t>PIAZZA CASTELLO</t>
  </si>
  <si>
    <t>LIDL</t>
  </si>
  <si>
    <t>VIA ANTONIO MEUCCI</t>
  </si>
  <si>
    <t>PAPILLON</t>
  </si>
  <si>
    <t>BORGO RUSTEGA</t>
  </si>
  <si>
    <t xml:space="preserve">COOP </t>
  </si>
  <si>
    <t>MERCOLEDI  POMERIGGIO  DOMENICA  TUTTO IL GIORNO</t>
  </si>
  <si>
    <t>RIVIERA</t>
  </si>
  <si>
    <t>VIA RIALTO</t>
  </si>
  <si>
    <t>DOMENICA  POMERIGGIO</t>
  </si>
  <si>
    <t>CONAD</t>
  </si>
  <si>
    <t>CARMIGNANO DI BRENTA</t>
  </si>
  <si>
    <t>VIA POSTUMIA</t>
  </si>
  <si>
    <t>GIA CHE CI SEI PIZZERIA</t>
  </si>
  <si>
    <t>CARTURA</t>
  </si>
  <si>
    <t>VIA PADOVA</t>
  </si>
  <si>
    <t>LUNEDI  POMERIGGIO</t>
  </si>
  <si>
    <t>ALLE STATUE</t>
  </si>
  <si>
    <t>CASALSERUGO</t>
  </si>
  <si>
    <t>VIA CAVOUR</t>
  </si>
  <si>
    <t>MAMA CAFFE'</t>
  </si>
  <si>
    <t>CERVARESE SANTA CROCE</t>
  </si>
  <si>
    <t>VIA FOSSONA</t>
  </si>
  <si>
    <t>A&amp;E PANIFICIO ARTIGIANALE</t>
  </si>
  <si>
    <t>CINTO EUGANEO</t>
  </si>
  <si>
    <t>VIA ANTONIO VIVALDI</t>
  </si>
  <si>
    <t>DA ROCCO</t>
  </si>
  <si>
    <t>CITTADELLA</t>
  </si>
  <si>
    <t>VIA SAN DONATO</t>
  </si>
  <si>
    <t>TORRE BIRRERIA</t>
  </si>
  <si>
    <t>MARTEDI</t>
  </si>
  <si>
    <t>CAFFE' TREVISO</t>
  </si>
  <si>
    <t>BORGO TREVISO</t>
  </si>
  <si>
    <t>TAVERNA DEL BORGO</t>
  </si>
  <si>
    <t>BORGO BASSANO</t>
  </si>
  <si>
    <t>LUNEDI  POMERIGGIO  SABATO  MATTINO</t>
  </si>
  <si>
    <t>VIA SANMARTINARA</t>
  </si>
  <si>
    <t>FERRARI</t>
  </si>
  <si>
    <t>VIA CA' MORO</t>
  </si>
  <si>
    <t>TORRE DI MALTA PIZZ.</t>
  </si>
  <si>
    <t>VIA CA' NAVE</t>
  </si>
  <si>
    <t>TUTTO BENE RISTOCAFFE'</t>
  </si>
  <si>
    <t>VIA NICCOLO' COPERNICO</t>
  </si>
  <si>
    <t>PECCATI DI GOLA</t>
  </si>
  <si>
    <t>AI MERLI</t>
  </si>
  <si>
    <t>CODEVIGO</t>
  </si>
  <si>
    <t>VIA CAMBROSO</t>
  </si>
  <si>
    <t>LUNEDI  POMERIGGIO  MARTEDI  TUTTO IL GIORNO</t>
  </si>
  <si>
    <t>DA OLIVO</t>
  </si>
  <si>
    <t>STRADA DEI PESCATORI</t>
  </si>
  <si>
    <t>STRANO MA VERO</t>
  </si>
  <si>
    <t>VIA VITTORIO EMANUELE III</t>
  </si>
  <si>
    <t>CONSELVE</t>
  </si>
  <si>
    <t>VIA GIANFRANCO MALIPIERO</t>
  </si>
  <si>
    <t>VANILLA</t>
  </si>
  <si>
    <t>VIA DELLA TECNICA</t>
  </si>
  <si>
    <t>SABATO  TUTTO IL GIORNO  DOMENICA  TUTTO IL GIORNO</t>
  </si>
  <si>
    <t>CAFFETTERIA VENEZIANA</t>
  </si>
  <si>
    <t>PIAZZA XX SETTEMBRE</t>
  </si>
  <si>
    <t>BLU BAR</t>
  </si>
  <si>
    <t>VIA GIUSEPPE VERDI</t>
  </si>
  <si>
    <t>LA FENICE</t>
  </si>
  <si>
    <t>VIA GIACOMO MATTEOTTI</t>
  </si>
  <si>
    <t>TRATTORIA DAI MARUSCANI</t>
  </si>
  <si>
    <t>CORREZZOLA</t>
  </si>
  <si>
    <t>VIA ANTONIO SANDANO</t>
  </si>
  <si>
    <t>LA FAMIGLIA</t>
  </si>
  <si>
    <t>VIALE MELZI</t>
  </si>
  <si>
    <t>MARTEDI  POMERIGGIO  MERCOLEDI  TUTTO IL GIORNO</t>
  </si>
  <si>
    <t>FALCO D'ORO</t>
  </si>
  <si>
    <t>CURTAROLO</t>
  </si>
  <si>
    <t>VIA SANT'ANDREA</t>
  </si>
  <si>
    <t>BAR SERENA</t>
  </si>
  <si>
    <t>PIAZZA MARTIRI</t>
  </si>
  <si>
    <t>SHANTI BAR</t>
  </si>
  <si>
    <t>PIAZZETTA CURTE RODULO</t>
  </si>
  <si>
    <t>FRANCIA</t>
  </si>
  <si>
    <t>VIA DON GIOVANNI BOSCO</t>
  </si>
  <si>
    <t>FAMILA CURTAROLO</t>
  </si>
  <si>
    <t>ALLE QUERCE</t>
  </si>
  <si>
    <t>DUE CARRARE</t>
  </si>
  <si>
    <t>VIA SAN PELAGIO</t>
  </si>
  <si>
    <t>LO CHEF</t>
  </si>
  <si>
    <t>VIA DELL'INDUSTRIA</t>
  </si>
  <si>
    <t>FAMILA DUE CARRARE</t>
  </si>
  <si>
    <t>VIA VO' DI PLACCA</t>
  </si>
  <si>
    <t>MERCOLEDI  POMERIGGIO</t>
  </si>
  <si>
    <t>ESTE</t>
  </si>
  <si>
    <t>VIA GIROLAMO VERSORI</t>
  </si>
  <si>
    <t>BIG BEN PIZZERIA</t>
  </si>
  <si>
    <t>VIA BRUNELLI</t>
  </si>
  <si>
    <t>SABATO  MATTINO</t>
  </si>
  <si>
    <t>JOLLY</t>
  </si>
  <si>
    <t>VIA PRINCIPE AMEDEO</t>
  </si>
  <si>
    <t>GASTRONOMIA SAN ROCCO</t>
  </si>
  <si>
    <t>VIA MONACHE</t>
  </si>
  <si>
    <t>LUNEDI</t>
  </si>
  <si>
    <t>ATUTTAPAGINA CAFFE'</t>
  </si>
  <si>
    <t>ARCADIA PIZZ.</t>
  </si>
  <si>
    <t>VIA BORGOFURO</t>
  </si>
  <si>
    <t>L'OASI DEL PESCE</t>
  </si>
  <si>
    <t>VIA DESERTO</t>
  </si>
  <si>
    <t>CARAVAN SERRAI PUB</t>
  </si>
  <si>
    <t>VIA ISIDORO ALESSI</t>
  </si>
  <si>
    <t>OSTERIA NOVA</t>
  </si>
  <si>
    <t>VIA CA' MORI</t>
  </si>
  <si>
    <t>PASSAPAROLA</t>
  </si>
  <si>
    <t>VIA ATHESTE</t>
  </si>
  <si>
    <t>LUNEDI  POMERIGGIO  GIOVEDI  POMERIGGIO</t>
  </si>
  <si>
    <t>COGOMA E PANARO</t>
  </si>
  <si>
    <t>VIA VIGO DI TORRE</t>
  </si>
  <si>
    <t xml:space="preserve">SMANIO </t>
  </si>
  <si>
    <t>VIA MAGANZA</t>
  </si>
  <si>
    <t>SISA</t>
  </si>
  <si>
    <t>VIA PRINCIPE UMBERTO</t>
  </si>
  <si>
    <t>DOMENICA</t>
  </si>
  <si>
    <t>MEGA ESTE</t>
  </si>
  <si>
    <t>VIA PADANA INFERIORE</t>
  </si>
  <si>
    <t>AL RAMON PIZZERIA</t>
  </si>
  <si>
    <t>FONTANIVA</t>
  </si>
  <si>
    <t>VIA BRENTA</t>
  </si>
  <si>
    <t>DA GODI</t>
  </si>
  <si>
    <t>VIA TRUTTA</t>
  </si>
  <si>
    <t>CAFFE' VENEZIA</t>
  </si>
  <si>
    <t>GALLIERA VENETA</t>
  </si>
  <si>
    <t>DA LUCA</t>
  </si>
  <si>
    <t>MARTEDI  POMERIGGIO</t>
  </si>
  <si>
    <t>TRE PONTI PIZZERIA</t>
  </si>
  <si>
    <t>GRANTORTO</t>
  </si>
  <si>
    <t>VIA CARLO ALBERTO</t>
  </si>
  <si>
    <t>GRANZE</t>
  </si>
  <si>
    <t>VIA DELLA LIBERTA'</t>
  </si>
  <si>
    <t>MERCOLEDI  POMERIGGIO  DOMENICA</t>
  </si>
  <si>
    <t>VECIA</t>
  </si>
  <si>
    <t>BAR CENTRALE</t>
  </si>
  <si>
    <t>LEGNARO</t>
  </si>
  <si>
    <t>VIA ROMEA</t>
  </si>
  <si>
    <t>AGRIPOLIS</t>
  </si>
  <si>
    <t>VIALE DELL'UNIVERSITA'</t>
  </si>
  <si>
    <t>AL SOLE</t>
  </si>
  <si>
    <t>VIA PRIMO MAGGIO</t>
  </si>
  <si>
    <t>RISTOBAR I.Z.S. VE</t>
  </si>
  <si>
    <t>BAR TRATTORIA INDUSTRIA</t>
  </si>
  <si>
    <t>LIMENA</t>
  </si>
  <si>
    <t>VIA DEL SANTO</t>
  </si>
  <si>
    <t>SABATO  POMERIGGIO  DOMENICA  TUTTO IL GIORNO</t>
  </si>
  <si>
    <t>OLD WILD WEST</t>
  </si>
  <si>
    <t>VIA VINCENZO STEFANO BREDA</t>
  </si>
  <si>
    <t>LA PIAZZETTA</t>
  </si>
  <si>
    <t>VIA BEATO ARNALDO DA LIMENA</t>
  </si>
  <si>
    <t>GARDEN RESTAURANT CAFFE'</t>
  </si>
  <si>
    <t>VIA DELLE INDUSTRIE</t>
  </si>
  <si>
    <t>K-2 NEW PIZZERIA</t>
  </si>
  <si>
    <t>COFFEE &amp; SHOP</t>
  </si>
  <si>
    <t>VIA FILIPPO TURATI</t>
  </si>
  <si>
    <t>SUITE</t>
  </si>
  <si>
    <t>DOMENICA  MATTINO</t>
  </si>
  <si>
    <t>NORDEST</t>
  </si>
  <si>
    <t>GOOD TIMES</t>
  </si>
  <si>
    <t>GREENWICH</t>
  </si>
  <si>
    <t>MAXI' SUPERMERCATI</t>
  </si>
  <si>
    <t>LOREGGIA</t>
  </si>
  <si>
    <t>VIA SAN ROCCO</t>
  </si>
  <si>
    <t>LOCANDA AURILIA</t>
  </si>
  <si>
    <t>VIA AURELIA</t>
  </si>
  <si>
    <t>SUPERLORIA SUPERMERCATI</t>
  </si>
  <si>
    <t>MESTRINO</t>
  </si>
  <si>
    <t>VIA MARCO POLO</t>
  </si>
  <si>
    <t>DIVINO CAFFE'</t>
  </si>
  <si>
    <t>VIA GALILEO GALILEI</t>
  </si>
  <si>
    <t>LA GHIOTTA</t>
  </si>
  <si>
    <t>VIALE ALCIDE DE GASPERI</t>
  </si>
  <si>
    <t>BAR MARAMEO</t>
  </si>
  <si>
    <t>AL CAPITEO BAR</t>
  </si>
  <si>
    <t>MONSELICE</t>
  </si>
  <si>
    <t>VIA CA' ODDO</t>
  </si>
  <si>
    <t>SABATO</t>
  </si>
  <si>
    <t>VIA VALLI</t>
  </si>
  <si>
    <t>CAFFETTERIA CANDIAN</t>
  </si>
  <si>
    <t>VIA SQUERO</t>
  </si>
  <si>
    <t>BAR SPORT</t>
  </si>
  <si>
    <t>PIAZZA SAN MARCO</t>
  </si>
  <si>
    <t>OLD WILD WEST MONSELICE</t>
  </si>
  <si>
    <t>VIA CRISTOFORO COLOMBO</t>
  </si>
  <si>
    <t>EUROSERVICE</t>
  </si>
  <si>
    <t>AL GRILLO PIZZERIA</t>
  </si>
  <si>
    <t>VIA ROVIGANA</t>
  </si>
  <si>
    <t>LA CAVEJA</t>
  </si>
  <si>
    <t>MEZZODI' - TARANTELLA - KEBAB</t>
  </si>
  <si>
    <t>DOMENICA  TUTTO IL GIORNO  LUNEDI  POMERIGGIO</t>
  </si>
  <si>
    <t>BAR GELATERIA ITALIA</t>
  </si>
  <si>
    <t>VIALE LOMBARDIA</t>
  </si>
  <si>
    <t>CAMPIELLO PIZZERIA</t>
  </si>
  <si>
    <t>RIVIERA BELZONI</t>
  </si>
  <si>
    <t>FAMILA MONSELICE</t>
  </si>
  <si>
    <t>VIA FERDINANDO MAGELLANO</t>
  </si>
  <si>
    <t>DA PAOLO BAR</t>
  </si>
  <si>
    <t>VIA SOLANA</t>
  </si>
  <si>
    <t>PUNTO SMA</t>
  </si>
  <si>
    <t>MONTAGNANA</t>
  </si>
  <si>
    <t>ZANINI</t>
  </si>
  <si>
    <t>LES ARCS PIZZERIA</t>
  </si>
  <si>
    <t>MONTEGROTTO TERME</t>
  </si>
  <si>
    <t>VIA SIESALUNGA</t>
  </si>
  <si>
    <t>TAVERNETTA</t>
  </si>
  <si>
    <t>VIA MEZZAVIA</t>
  </si>
  <si>
    <t>BIOSAPORI</t>
  </si>
  <si>
    <t>NOVENTA PADOVANA</t>
  </si>
  <si>
    <t>PIAZZA GIOVANNELLI</t>
  </si>
  <si>
    <t>INDUSTRIA</t>
  </si>
  <si>
    <t>VIA CAPPELLO</t>
  </si>
  <si>
    <t>CARPE DIEM</t>
  </si>
  <si>
    <t>VIA PANA'</t>
  </si>
  <si>
    <t>EL BACARETO</t>
  </si>
  <si>
    <t>MELOGRANO PUB</t>
  </si>
  <si>
    <t>FEELING CAFE'</t>
  </si>
  <si>
    <t>PIAZZA EUROPA</t>
  </si>
  <si>
    <t>NACHT CAFE'</t>
  </si>
  <si>
    <t>MIRALE</t>
  </si>
  <si>
    <t>VIA CARSO</t>
  </si>
  <si>
    <t>LA CITTADELLA</t>
  </si>
  <si>
    <t>PADOVA</t>
  </si>
  <si>
    <t>VIA ANTONIO GRASSI</t>
  </si>
  <si>
    <t>CAFFE' MARGHERITA</t>
  </si>
  <si>
    <t>PIAZZA DEI FRUTTI</t>
  </si>
  <si>
    <t>AL BARETO</t>
  </si>
  <si>
    <t>VIA VENEZIA</t>
  </si>
  <si>
    <t xml:space="preserve">AL BUONGUSTAIO </t>
  </si>
  <si>
    <t>VIA NICCOLO' TOMMASEO</t>
  </si>
  <si>
    <t>CAFFETTERIA  "AL 94"</t>
  </si>
  <si>
    <t>VIA ENRICO DEGLI SCROVEGNI</t>
  </si>
  <si>
    <t>PIANO TERRA</t>
  </si>
  <si>
    <t>VIALE CODALUNGA</t>
  </si>
  <si>
    <t>SABATO    DOMENICA</t>
  </si>
  <si>
    <t>ANTICO DESIDERIO</t>
  </si>
  <si>
    <t>VIA DEL PORTELLO</t>
  </si>
  <si>
    <t>SABATO  TUTTO IL GIORNO</t>
  </si>
  <si>
    <t>ANTICO FORNO PADOVA</t>
  </si>
  <si>
    <t>PIAZZALE MAZZINI</t>
  </si>
  <si>
    <t>MIRO'S CAFE'</t>
  </si>
  <si>
    <t>VIA VIGONOVESE</t>
  </si>
  <si>
    <t>DOMENICA    DOMENICA</t>
  </si>
  <si>
    <t>CORTE DEI LEONI</t>
  </si>
  <si>
    <t>VIA PIETRO D'ABANO</t>
  </si>
  <si>
    <t>SPILLER</t>
  </si>
  <si>
    <t>VIA FORNACE MORANDI</t>
  </si>
  <si>
    <t>DOLCEAMARO</t>
  </si>
  <si>
    <t>ARISTON PIZZERIA</t>
  </si>
  <si>
    <t>VIA GABRIELE FALLOPPIO</t>
  </si>
  <si>
    <t>PIAZZETTA CONCIAPELLI</t>
  </si>
  <si>
    <t>VIA ROBERTO MARIN</t>
  </si>
  <si>
    <t>VIA SAVONA</t>
  </si>
  <si>
    <t>VIA MONTE CENGIO</t>
  </si>
  <si>
    <t>VIA VINCENZO MONTI</t>
  </si>
  <si>
    <t>VIA PIERPAOLO VERGERIO</t>
  </si>
  <si>
    <t>VIA PONTEVIGODARZERE</t>
  </si>
  <si>
    <t>PIAZZALE DELLA STAZIONE</t>
  </si>
  <si>
    <t>VIA ALTICHIERO</t>
  </si>
  <si>
    <t>VIA GATTAMELATA</t>
  </si>
  <si>
    <t>PIAZZA DELLA FRUTTA</t>
  </si>
  <si>
    <t>ENJOY CAFFE'</t>
  </si>
  <si>
    <t>VIA GIACINTO ANDREA LONGHIN</t>
  </si>
  <si>
    <t>OTTOEMEZZO</t>
  </si>
  <si>
    <t>CORSO GARIBALDI</t>
  </si>
  <si>
    <t>DIVINO CAFE'</t>
  </si>
  <si>
    <t>PIAZZA LUIGI DA PORTO</t>
  </si>
  <si>
    <t>GALLERY</t>
  </si>
  <si>
    <t>GALLERIA TRIESTE</t>
  </si>
  <si>
    <t>LA SPECOLA</t>
  </si>
  <si>
    <t>RIVIERA PALEOCAPA</t>
  </si>
  <si>
    <t>ZIP</t>
  </si>
  <si>
    <t>CORSO STATI UNITI</t>
  </si>
  <si>
    <t>DIDY'S BAR</t>
  </si>
  <si>
    <t>VIA GIOVANNI SAVELLI</t>
  </si>
  <si>
    <t>VENEZIA</t>
  </si>
  <si>
    <t>PIAZZA SANTI PIETRO E PAOLO</t>
  </si>
  <si>
    <t>MERCATO</t>
  </si>
  <si>
    <t>CAFFE' PATAVINO</t>
  </si>
  <si>
    <t>BELLE EPOQUE</t>
  </si>
  <si>
    <t>CORSO MILANO</t>
  </si>
  <si>
    <t>MAISON HAND BISTROT</t>
  </si>
  <si>
    <t>PIAZZA EREMITANI</t>
  </si>
  <si>
    <t>SANTA MONICA WIN BAR</t>
  </si>
  <si>
    <t>VIA GUIZZA CONSELVANA</t>
  </si>
  <si>
    <t>PANETTERIA CARLOTTA</t>
  </si>
  <si>
    <t>VIA DEGLI ZABARELLA</t>
  </si>
  <si>
    <t>PANINI LEONE</t>
  </si>
  <si>
    <t>'ZZINO TRAMEZZINO</t>
  </si>
  <si>
    <t>PIAZZA DELLE ERBE</t>
  </si>
  <si>
    <t>LUNEDI      TUTTO IL GIORNO</t>
  </si>
  <si>
    <t>GRANZE SNACK BAR</t>
  </si>
  <si>
    <t>VIA DELLE GRANZE SUD</t>
  </si>
  <si>
    <t>IL CALICE</t>
  </si>
  <si>
    <t>VIA SUOR ELISABETTA VENDRAMINI</t>
  </si>
  <si>
    <t>ROSA</t>
  </si>
  <si>
    <t>VIA SAN FRANCESCO</t>
  </si>
  <si>
    <t>BABUSKA CAFE'</t>
  </si>
  <si>
    <t>VIA ARISTIDE GABELLI</t>
  </si>
  <si>
    <t>AL NUOVO MERCATO BAR</t>
  </si>
  <si>
    <t>VECIA PADOVA</t>
  </si>
  <si>
    <t>VIA ARCO VALARESSO</t>
  </si>
  <si>
    <t>VIA PILADE BRONZETTI</t>
  </si>
  <si>
    <t>SABATO  POMERIGGIO  DOMENICA</t>
  </si>
  <si>
    <t>IL BARETTO</t>
  </si>
  <si>
    <t>VIA OSPEDALE CIVILE</t>
  </si>
  <si>
    <t>CAFFE' CARLOTTA</t>
  </si>
  <si>
    <t>CAFFETTERIA VIA SORIO</t>
  </si>
  <si>
    <t>VIA SORIO</t>
  </si>
  <si>
    <t>ANTILLE CAFFE'</t>
  </si>
  <si>
    <t>VIA DEL MUNICIPIO</t>
  </si>
  <si>
    <t>LEONARDO</t>
  </si>
  <si>
    <t>VIA LUIGI PELLIZZO</t>
  </si>
  <si>
    <t>CAFFE' MISSAGLIA</t>
  </si>
  <si>
    <t>VIA SANTA LUCIA</t>
  </si>
  <si>
    <t>CAFFETTERIA BEGGIO</t>
  </si>
  <si>
    <t>MILKBAR</t>
  </si>
  <si>
    <t>AL CAFFE' CANOVA</t>
  </si>
  <si>
    <t>VIA PORCIGLIA</t>
  </si>
  <si>
    <t>CAPRICCIO</t>
  </si>
  <si>
    <t>VIA BEZZECCA</t>
  </si>
  <si>
    <t xml:space="preserve">BAR FESTIVAL </t>
  </si>
  <si>
    <t>VIA DEL PLEBISCITO 1866</t>
  </si>
  <si>
    <t>AZZURRA</t>
  </si>
  <si>
    <t>VIA GIROLAMO FABRICI D'ACQUAPENDENTE</t>
  </si>
  <si>
    <t>ANGOLO DIVINO</t>
  </si>
  <si>
    <t>VIA MELCHIORRE CESAROTTI</t>
  </si>
  <si>
    <t>FANTASY</t>
  </si>
  <si>
    <t>VIA PIOVESE</t>
  </si>
  <si>
    <t>CADO'</t>
  </si>
  <si>
    <t>EUROPA CAFFETTERIA</t>
  </si>
  <si>
    <t>DA MIRCO</t>
  </si>
  <si>
    <t>VIA DELLE CAVE</t>
  </si>
  <si>
    <t>NAZIONALE</t>
  </si>
  <si>
    <t>BREK FOCACCERIA</t>
  </si>
  <si>
    <t>PIAZZETTA DELLA GARZERIA</t>
  </si>
  <si>
    <t>MENSA TELECOM</t>
  </si>
  <si>
    <t>STRADA SETTIMA</t>
  </si>
  <si>
    <t>AL RITROVO</t>
  </si>
  <si>
    <t>VIA DELLA RICERCA SCIENTIFICA</t>
  </si>
  <si>
    <t>DOMENICA    SABATO</t>
  </si>
  <si>
    <t>ROCKY'S &amp; ROSE'S</t>
  </si>
  <si>
    <t>HAM HOIY BURGER</t>
  </si>
  <si>
    <t>PIAZZA DEI SIGNORI</t>
  </si>
  <si>
    <t>THE LAST ONE</t>
  </si>
  <si>
    <t>VIA SAN CRISPINO</t>
  </si>
  <si>
    <t>CORSO 222</t>
  </si>
  <si>
    <t>CORSO DEL POPOLO</t>
  </si>
  <si>
    <t>DOMENICA  TUTTO IL GIORNO  SABATO  TUTTO IL GIORNO</t>
  </si>
  <si>
    <t>PAPOGIO'</t>
  </si>
  <si>
    <t>VIA DEL PROGRESSO</t>
  </si>
  <si>
    <t>GELATOMANIA</t>
  </si>
  <si>
    <t>LA PAVANA PIZZ.</t>
  </si>
  <si>
    <t>VIA TRIESTE</t>
  </si>
  <si>
    <t>SUGO</t>
  </si>
  <si>
    <t>AURORA</t>
  </si>
  <si>
    <t>VIA FRANCESCO MARZOLO</t>
  </si>
  <si>
    <t>DA BOGA' CAFFE</t>
  </si>
  <si>
    <t>VIALE DELL'INDUSTRIA</t>
  </si>
  <si>
    <t>DA PINO</t>
  </si>
  <si>
    <t>RIVIERA DEI PONTI ROMANI</t>
  </si>
  <si>
    <t>ANTICA SALUMERIA GUARNIERI</t>
  </si>
  <si>
    <t>CORSO VITTORIO EMANUELE II</t>
  </si>
  <si>
    <t>BISTRO' 61</t>
  </si>
  <si>
    <t>DE ROSSI</t>
  </si>
  <si>
    <t>VIA TIZIANO ASPETTI</t>
  </si>
  <si>
    <t>CAFFE' E SAPORI</t>
  </si>
  <si>
    <t>VIA PIETRO BEMBO</t>
  </si>
  <si>
    <t>PUNTO A CAPO</t>
  </si>
  <si>
    <t>FESTIVAL</t>
  </si>
  <si>
    <t>BAR DA JERRY</t>
  </si>
  <si>
    <t>VIA ROVIGO</t>
  </si>
  <si>
    <t>DOLCELANDIA</t>
  </si>
  <si>
    <t>RISTO BAR INTERMEZZO</t>
  </si>
  <si>
    <t>VIA LISBONA</t>
  </si>
  <si>
    <t>ONE STREET CAFE'</t>
  </si>
  <si>
    <t>ZONA INDUSTRIALE PRIMA STRADA</t>
  </si>
  <si>
    <t>EUROPA</t>
  </si>
  <si>
    <t>ALL'OSTERIA EUROPA</t>
  </si>
  <si>
    <t>CORSO BRASILE</t>
  </si>
  <si>
    <t>SABATO    DOMENICA  TUTTO IL GIORNO</t>
  </si>
  <si>
    <t>INGEGNERIA</t>
  </si>
  <si>
    <t>DIEMME CAFFE</t>
  </si>
  <si>
    <t>PIAZZA PRATO DELLA VALLE</t>
  </si>
  <si>
    <t>...QUELLI CHE DA MAX</t>
  </si>
  <si>
    <t>PIAZZA PAPA GIOVANNI XXIII</t>
  </si>
  <si>
    <t>B-BAR</t>
  </si>
  <si>
    <t>VIA SAN MASSIMO</t>
  </si>
  <si>
    <t>CAFFE' TI AMO</t>
  </si>
  <si>
    <t>ENJOY LUNCH</t>
  </si>
  <si>
    <t>VIALE DELLA NAVIGAZIONE INTERNA</t>
  </si>
  <si>
    <t>LA MOSCHETA</t>
  </si>
  <si>
    <t>VIA GIOVANNI BOCCACCIO</t>
  </si>
  <si>
    <t>VECCHIA PADOVA</t>
  </si>
  <si>
    <t>SUMMER RISTO CAFE</t>
  </si>
  <si>
    <t>RIVIERA TITO LIVIO</t>
  </si>
  <si>
    <t>CAFFE' BERCHET</t>
  </si>
  <si>
    <t>VIA GIOVANNI BERCHET</t>
  </si>
  <si>
    <t>SAPORI</t>
  </si>
  <si>
    <t>PIERETTI</t>
  </si>
  <si>
    <t>VIA MADONNA DELLA SALUTE</t>
  </si>
  <si>
    <t>CAFFETTERIA TOMMASEO</t>
  </si>
  <si>
    <t>BAR BUONARROTI</t>
  </si>
  <si>
    <t>VIA MICHELANGELO BUONARROTI</t>
  </si>
  <si>
    <t>DOMENICA  POMERIGGIO  LUNEDI  POMERIGGIO</t>
  </si>
  <si>
    <t>MIDTOWN</t>
  </si>
  <si>
    <t>VIA DON GIUSEPPE LAGO</t>
  </si>
  <si>
    <t>CLAFE'</t>
  </si>
  <si>
    <t>FIORITAL</t>
  </si>
  <si>
    <t>VIA CARLO REZZONICO</t>
  </si>
  <si>
    <t>RISTORANTE PIZZERIA AL CAMIN</t>
  </si>
  <si>
    <t>VIALE FELICE CAVALLOTTI</t>
  </si>
  <si>
    <t>DOLCECAFE'</t>
  </si>
  <si>
    <t>CIAO</t>
  </si>
  <si>
    <t>FLY</t>
  </si>
  <si>
    <t>GALLERIA TITO LIVIO</t>
  </si>
  <si>
    <t>OTIUM LUNCH CAFE'</t>
  </si>
  <si>
    <t>HAMERICA'S</t>
  </si>
  <si>
    <t>VIA DELL'ARCO</t>
  </si>
  <si>
    <t>FORMEL</t>
  </si>
  <si>
    <t>VIA ANSUINO DA FORLI'</t>
  </si>
  <si>
    <t>LA MASSERIA</t>
  </si>
  <si>
    <t>VIA JACOPO FACCIOLATI</t>
  </si>
  <si>
    <t>PIAZZA PETRARCA</t>
  </si>
  <si>
    <t>AL CANTON</t>
  </si>
  <si>
    <t>NOVA PASTICCERIA</t>
  </si>
  <si>
    <t>VIA BOCCALERIE</t>
  </si>
  <si>
    <t>PICARD</t>
  </si>
  <si>
    <t>VIA VICENZA</t>
  </si>
  <si>
    <t>CAFE'DELLA PIAZZETTA</t>
  </si>
  <si>
    <t>VIA SAN MARTINO E SOLFERINO</t>
  </si>
  <si>
    <t>PIZZERIA BAR SOTTO CASA</t>
  </si>
  <si>
    <t>DEL CIANCINO</t>
  </si>
  <si>
    <t>AL TROMBON</t>
  </si>
  <si>
    <t>VIA PIERO MARONCELLI</t>
  </si>
  <si>
    <t>AL CARMINE</t>
  </si>
  <si>
    <t>LUNEDI    DOMENICA  MATTINO</t>
  </si>
  <si>
    <t>SCROVEGNI PIZZERIA</t>
  </si>
  <si>
    <t>DA GIORGIA</t>
  </si>
  <si>
    <t>VIA PALESTRO</t>
  </si>
  <si>
    <t>GOLDEN COFFEE</t>
  </si>
  <si>
    <t>GORDO'S</t>
  </si>
  <si>
    <t>PIAZZA ALCIDE DE GASPERI</t>
  </si>
  <si>
    <t>LA PIADINERIA</t>
  </si>
  <si>
    <t>VIA DANIELE MANIN</t>
  </si>
  <si>
    <t>BAR EL PILAR</t>
  </si>
  <si>
    <t>HM PADOVA</t>
  </si>
  <si>
    <t>VIA FRANCESCO RISMONDO</t>
  </si>
  <si>
    <t>I SUSHI PADOVA</t>
  </si>
  <si>
    <t>IDEA</t>
  </si>
  <si>
    <t>QUO VADIS</t>
  </si>
  <si>
    <t>RISTORANTE IKEA</t>
  </si>
  <si>
    <t>VIA SERGIO FRACCALANZA</t>
  </si>
  <si>
    <t>BAR IKEA</t>
  </si>
  <si>
    <t>SELF SERVICE IKEA</t>
  </si>
  <si>
    <t>IL CHICCO</t>
  </si>
  <si>
    <t>IL MELOGRANO</t>
  </si>
  <si>
    <t>VIA PIETRO DONA'</t>
  </si>
  <si>
    <t>INDIVIA</t>
  </si>
  <si>
    <t>VIA NICOLO' GIUSTINIANI</t>
  </si>
  <si>
    <t>INDIVIA BAR</t>
  </si>
  <si>
    <t>VIA DEI COLLI</t>
  </si>
  <si>
    <t>GALLOWAY</t>
  </si>
  <si>
    <t>STRADA NONA</t>
  </si>
  <si>
    <t>SABATO  MATTINO  DOMENICA  MATTINO</t>
  </si>
  <si>
    <t>PANE E VINO E S.DANIELE</t>
  </si>
  <si>
    <t>VIA ALTINATE</t>
  </si>
  <si>
    <t>LA NUOVA COVA</t>
  </si>
  <si>
    <t>VIA PIER FORTUNATO CALVI</t>
  </si>
  <si>
    <t>IL BELZONINO CAFE'</t>
  </si>
  <si>
    <t>VIA GIAMBATTISTA BELZONI</t>
  </si>
  <si>
    <t>HIRO</t>
  </si>
  <si>
    <t>CABERLOTTO</t>
  </si>
  <si>
    <t>OSTERIA FRADEI KEMPES</t>
  </si>
  <si>
    <t>GRAN CAFFETTERIA KOFLER</t>
  </si>
  <si>
    <t>NERO DI SEPPIA</t>
  </si>
  <si>
    <t>LA CASA DEL PARMIGIANO</t>
  </si>
  <si>
    <t>VIA SOTTO IL SALONE</t>
  </si>
  <si>
    <t>LA MONGOLFIERA</t>
  </si>
  <si>
    <t>PIAZZA GAETANO SALVEMINI</t>
  </si>
  <si>
    <t>LA SIRENA</t>
  </si>
  <si>
    <t>HEART</t>
  </si>
  <si>
    <t>VIA ENRICO FERMI</t>
  </si>
  <si>
    <t>L'ALTERNATIVA</t>
  </si>
  <si>
    <t>LE COLONNE</t>
  </si>
  <si>
    <t>BAR BAKINO</t>
  </si>
  <si>
    <t>FOGLIO ROSA</t>
  </si>
  <si>
    <t>CORSO SPAGNA</t>
  </si>
  <si>
    <t>SPUNCIO BAR</t>
  </si>
  <si>
    <t>VIA ANNIBALE DA BASSANO</t>
  </si>
  <si>
    <t>ALICE</t>
  </si>
  <si>
    <t>FIRENZE</t>
  </si>
  <si>
    <t>AL PRA'</t>
  </si>
  <si>
    <t>L'INTERMEZZO</t>
  </si>
  <si>
    <t>FORZATE' CAFE'</t>
  </si>
  <si>
    <t>PIAZZETTA BEATO GIORDANO FORZATE'</t>
  </si>
  <si>
    <t>LE BUONEVOGLIE PIZZERIA</t>
  </si>
  <si>
    <t>MAPPA RIST.</t>
  </si>
  <si>
    <t>ELAND</t>
  </si>
  <si>
    <t>MAXMILIAN</t>
  </si>
  <si>
    <t>PIZZA SPRINT</t>
  </si>
  <si>
    <t>PRINCIPE</t>
  </si>
  <si>
    <t>VIA DEL RISORGIMENTO</t>
  </si>
  <si>
    <t>GOZZI</t>
  </si>
  <si>
    <t>PASSIONE PIZZA</t>
  </si>
  <si>
    <t>VIA DEI LIVELLO</t>
  </si>
  <si>
    <t>MILANO</t>
  </si>
  <si>
    <t>AL PORTO</t>
  </si>
  <si>
    <t>L'ANTICO CHICCO DI CAFFE'</t>
  </si>
  <si>
    <t>BAMBOO CAFE'</t>
  </si>
  <si>
    <t>VIA GIACINTO CARINI</t>
  </si>
  <si>
    <t>BAR 2000</t>
  </si>
  <si>
    <t>VIA ALBERTO CAVALLETTO</t>
  </si>
  <si>
    <t>MUNERATO</t>
  </si>
  <si>
    <t>VIA SACRO CUORE</t>
  </si>
  <si>
    <t>RAMBLAS CAFE'</t>
  </si>
  <si>
    <t>GAIA</t>
  </si>
  <si>
    <t>VIA GIOVANNI BATTISTA RICCI</t>
  </si>
  <si>
    <t>CAFE' C'EST LA VIE</t>
  </si>
  <si>
    <t>NEW LIFE CAFE'</t>
  </si>
  <si>
    <t>ROSSOPOMODORO</t>
  </si>
  <si>
    <t>PERCHE' NO</t>
  </si>
  <si>
    <t>VIA DOMENICO TURAZZA</t>
  </si>
  <si>
    <t>VOGLIA DI...PIZZERIA</t>
  </si>
  <si>
    <t>VIA LORENZO PEROSI</t>
  </si>
  <si>
    <t>FACCIOLATI CAFFETTERIA</t>
  </si>
  <si>
    <t>DIDY'S CAFE'</t>
  </si>
  <si>
    <t>EREMITANI</t>
  </si>
  <si>
    <t>CAFFE' INTERPORTO</t>
  </si>
  <si>
    <t>GALLERIA SPAGNA</t>
  </si>
  <si>
    <t>THE SQUID FISH EXPERIENCE</t>
  </si>
  <si>
    <t>BAR AL PALAZZETTO</t>
  </si>
  <si>
    <t>VIA TOMMASO TEMANZA</t>
  </si>
  <si>
    <t>PANE E MIELE</t>
  </si>
  <si>
    <t>BRUNCHY BAR</t>
  </si>
  <si>
    <t>VIA GIUSEPPE JAPPELLI</t>
  </si>
  <si>
    <t xml:space="preserve">PASTA E SUGO </t>
  </si>
  <si>
    <t>GRAZIATI</t>
  </si>
  <si>
    <t>PORTAS</t>
  </si>
  <si>
    <t>PEDRON CAFFE'</t>
  </si>
  <si>
    <t>VIA EMANUELE FILIBERTO DI SAVOIA</t>
  </si>
  <si>
    <t>ACI</t>
  </si>
  <si>
    <t>CAFFE' KYLIX</t>
  </si>
  <si>
    <t>PIAZZA GIACOMO ZANELLATO</t>
  </si>
  <si>
    <t>PICCOLO COLLE ANTICO</t>
  </si>
  <si>
    <t>GROSSO POMODORO</t>
  </si>
  <si>
    <t>VIA MONTA'</t>
  </si>
  <si>
    <t>PIZZA NEW</t>
  </si>
  <si>
    <t>ARIZONA PIZZ.</t>
  </si>
  <si>
    <t>VIA CHIESANUOVA</t>
  </si>
  <si>
    <t>PIZZERIA DA ANDREA</t>
  </si>
  <si>
    <t>VIA ALTICHIERO DA ZEVIO</t>
  </si>
  <si>
    <t>DA VANNI</t>
  </si>
  <si>
    <t>MANDRILLO</t>
  </si>
  <si>
    <t>PLANET CAFE'</t>
  </si>
  <si>
    <t>LA CAVEJA PIADINERIA</t>
  </si>
  <si>
    <t>SUPERMERCATO DESPAR</t>
  </si>
  <si>
    <t>VITTORIO I</t>
  </si>
  <si>
    <t>AL VICOLO</t>
  </si>
  <si>
    <t>VICOLO SANT'ANDREA</t>
  </si>
  <si>
    <t>TRES JOLI RISTOBAR</t>
  </si>
  <si>
    <t>G BAR 2.0</t>
  </si>
  <si>
    <t>FOOD COTTAGE</t>
  </si>
  <si>
    <t>BARLOKKO</t>
  </si>
  <si>
    <t>RANGO BAR</t>
  </si>
  <si>
    <t>DOLCE &amp; SALATO</t>
  </si>
  <si>
    <t>CARLOTTA CAFFE'</t>
  </si>
  <si>
    <t>VIA DELLA CROCE ROSSA</t>
  </si>
  <si>
    <t>AL TRIBUNALE</t>
  </si>
  <si>
    <t>WOK SUSHI PADOVA RISTORANTE</t>
  </si>
  <si>
    <t>IL PADOVANO</t>
  </si>
  <si>
    <t>VIA MARTIRI DELLA LIBERTA'</t>
  </si>
  <si>
    <t>RISTOBAR ZABARELLA</t>
  </si>
  <si>
    <t>LISBONA</t>
  </si>
  <si>
    <t>GIORDANO PIZZ.</t>
  </si>
  <si>
    <t>PAUL'S BAR</t>
  </si>
  <si>
    <t>ZENZERO CAFFE</t>
  </si>
  <si>
    <t>POLLINI</t>
  </si>
  <si>
    <t>VIA EREMITANI</t>
  </si>
  <si>
    <t>SACRA FAMIGLIA</t>
  </si>
  <si>
    <t>PIAZZALE FIRENZE</t>
  </si>
  <si>
    <t>S'ALIGUSTA PIZZERIA</t>
  </si>
  <si>
    <t>VIA VOLTURNO</t>
  </si>
  <si>
    <t>ASSAGGIAMI</t>
  </si>
  <si>
    <t>VIA BELGIO</t>
  </si>
  <si>
    <t>SAVELLI</t>
  </si>
  <si>
    <t xml:space="preserve">MACRILLO </t>
  </si>
  <si>
    <t>PIZZERIA SAVONAROLA</t>
  </si>
  <si>
    <t>VIA SAVONAROLA</t>
  </si>
  <si>
    <t xml:space="preserve">BAR TABACCHI RE ARTU </t>
  </si>
  <si>
    <t>VIA SANTI FABIANO E SEBASTIANO</t>
  </si>
  <si>
    <t>BUON APPETITO</t>
  </si>
  <si>
    <t>VIA URUGUAY</t>
  </si>
  <si>
    <t>DIPENDENTI OSPEDALE DI PADOVA</t>
  </si>
  <si>
    <t>SORRISI DI GUSTO</t>
  </si>
  <si>
    <t>VIA PORTOGALLO</t>
  </si>
  <si>
    <t>BAR RENDEZ VOUS</t>
  </si>
  <si>
    <t>BAR INT.OSPEDALE MONOBLOCCO</t>
  </si>
  <si>
    <t>CHRIS</t>
  </si>
  <si>
    <t>GALLERIA DEGLI SCROVEGNI</t>
  </si>
  <si>
    <t>SNACK BAR</t>
  </si>
  <si>
    <t>SPAK MARKET</t>
  </si>
  <si>
    <t>ISOLA DI CAPRERA</t>
  </si>
  <si>
    <t>VIA MARSILIO DA PADOVA</t>
  </si>
  <si>
    <t>STEP CAFE</t>
  </si>
  <si>
    <t>VIA GIUSEPPE ORUS</t>
  </si>
  <si>
    <t>STILE CAFFE'</t>
  </si>
  <si>
    <t xml:space="preserve">SUSHI BAR SUKII </t>
  </si>
  <si>
    <t>VIA GUASTI</t>
  </si>
  <si>
    <t>LOUNGE CAFE' - RISTOCAFE'</t>
  </si>
  <si>
    <t>COCO'</t>
  </si>
  <si>
    <t>TRE SCALINI</t>
  </si>
  <si>
    <t>VERBA VOLANT</t>
  </si>
  <si>
    <t>SNACK EXPRESS</t>
  </si>
  <si>
    <t>FAMILA PADOVA MORTISE</t>
  </si>
  <si>
    <t>VIA RICCARDO BAJARDI</t>
  </si>
  <si>
    <t>PONTECORVO PIZZERIA</t>
  </si>
  <si>
    <t>PIAZZALE PONTECORVO</t>
  </si>
  <si>
    <t>ALLE DOLOMITI CAFE'</t>
  </si>
  <si>
    <t>UNIVERSO VEGANO</t>
  </si>
  <si>
    <t>VIA SAN GREGORIO BARBARIGO</t>
  </si>
  <si>
    <t>LA RONDE</t>
  </si>
  <si>
    <t>ALL'OLMO</t>
  </si>
  <si>
    <t>UMAMI</t>
  </si>
  <si>
    <t>INDUSTRIA 64 CAFE'</t>
  </si>
  <si>
    <t>AV BAR</t>
  </si>
  <si>
    <t>VITTORIA LUANA</t>
  </si>
  <si>
    <t>PUNTO EAT</t>
  </si>
  <si>
    <t>PIAZZA VIRGILIO BARDELLA</t>
  </si>
  <si>
    <t>I GIRASOLI</t>
  </si>
  <si>
    <t>ZAGOLIN</t>
  </si>
  <si>
    <t>VIA JACOPO AVANZO</t>
  </si>
  <si>
    <t>ZAS MENSA PIO X</t>
  </si>
  <si>
    <t>VIA ANTONIO FRANCESCO BONPORTI</t>
  </si>
  <si>
    <t>IL CRISPINO</t>
  </si>
  <si>
    <t>LA GALLERIA</t>
  </si>
  <si>
    <t>GALLERIA SAN CARLO</t>
  </si>
  <si>
    <t>88 RISTORANTE</t>
  </si>
  <si>
    <t>COLONNA</t>
  </si>
  <si>
    <t>PIAZZOLA SUL BRENTA</t>
  </si>
  <si>
    <t>DA CORRADO</t>
  </si>
  <si>
    <t>VIA FIUME</t>
  </si>
  <si>
    <t>SAN MARCO PIZZERIA</t>
  </si>
  <si>
    <t>VIA DEI CONTARINI</t>
  </si>
  <si>
    <t>LA TORRE</t>
  </si>
  <si>
    <t>VIA DEI MAGAZZINI</t>
  </si>
  <si>
    <t>OSTERIA AL MAJO</t>
  </si>
  <si>
    <t>VIA LUIGI CAMERINI</t>
  </si>
  <si>
    <t>POLATI CAFFE' VINO E CIBO</t>
  </si>
  <si>
    <t>LA COCCINELLA</t>
  </si>
  <si>
    <t>VIA ROLANDO DA PIAZZOLA</t>
  </si>
  <si>
    <t>MAXI'</t>
  </si>
  <si>
    <t>PIOMBINO DESE</t>
  </si>
  <si>
    <t>VIA DELLA VITTORIA</t>
  </si>
  <si>
    <t>CAFFE' COMMERCIO</t>
  </si>
  <si>
    <t>ANTICA ALBORA</t>
  </si>
  <si>
    <t>PIOVE DI SACCO</t>
  </si>
  <si>
    <t>VIA GELSI</t>
  </si>
  <si>
    <t>DA AMOS PIZZERIA</t>
  </si>
  <si>
    <t>VIA MONS.ROBERTO CARNIELLO</t>
  </si>
  <si>
    <t>BAR ROMEA</t>
  </si>
  <si>
    <t>VIA ALESSIO VALERIO</t>
  </si>
  <si>
    <t>OLYMPIA</t>
  </si>
  <si>
    <t>VIA CARRARESE</t>
  </si>
  <si>
    <t>VIA BREO</t>
  </si>
  <si>
    <t>AIRONE</t>
  </si>
  <si>
    <t>VIA FRATELLI SANGUINAZZI</t>
  </si>
  <si>
    <t>ENERGIA</t>
  </si>
  <si>
    <t>AL DOC TAVERNA GOURMET</t>
  </si>
  <si>
    <t>GIOVEDI      TUTTO IL GIORNO</t>
  </si>
  <si>
    <t>PIOVESE SMA SUPERMERCATO</t>
  </si>
  <si>
    <t>VIA MICHIEL</t>
  </si>
  <si>
    <t>SPICCHIO PIZZA</t>
  </si>
  <si>
    <t>BAR OASI</t>
  </si>
  <si>
    <t>CORTILE DI SAN MARTINO</t>
  </si>
  <si>
    <t>2 ZETA BAR TOTALERG</t>
  </si>
  <si>
    <t>DEA DUE</t>
  </si>
  <si>
    <t>PONTE SAN NICOLO'</t>
  </si>
  <si>
    <t>DESPAR MARKET</t>
  </si>
  <si>
    <t>POZZONOVO</t>
  </si>
  <si>
    <t>PONTE DELLE VALLI</t>
  </si>
  <si>
    <t>ROVOLON</t>
  </si>
  <si>
    <t>VIA PONTE VALLI</t>
  </si>
  <si>
    <t>IPERSPAR</t>
  </si>
  <si>
    <t>RUBANO</t>
  </si>
  <si>
    <t>VIA DELLA PROVVIDENZA</t>
  </si>
  <si>
    <t>PARCO ETNOGRAFICO RUBANO</t>
  </si>
  <si>
    <t>PETIT PARIS</t>
  </si>
  <si>
    <t>VIALE PO</t>
  </si>
  <si>
    <t>GOLA E VANITA'</t>
  </si>
  <si>
    <t>VIA ANTONIO ROSSI</t>
  </si>
  <si>
    <t>CAFFETTERIA GALA'</t>
  </si>
  <si>
    <t>L' ALBERO - TARANTELLA - BAR</t>
  </si>
  <si>
    <t>L'INTERVALLO</t>
  </si>
  <si>
    <t>BAR PUNTO E A CAPO</t>
  </si>
  <si>
    <t>ROSSI</t>
  </si>
  <si>
    <t>RE GUSTO</t>
  </si>
  <si>
    <t>DOMINO</t>
  </si>
  <si>
    <t>PIAZZA LUCREZIA ELENA PISCOPIA CORNARO</t>
  </si>
  <si>
    <t>B76 BAR CAFE'</t>
  </si>
  <si>
    <t>VIA ALTIERO SPINELLI</t>
  </si>
  <si>
    <t>ZENZERO CAFE'</t>
  </si>
  <si>
    <t>VIA PITAGORA</t>
  </si>
  <si>
    <t>DA AMEDEO PIZZERIA</t>
  </si>
  <si>
    <t>SAN GIORGIO DELLE PERTICHE</t>
  </si>
  <si>
    <t>VIA ANCONETTA</t>
  </si>
  <si>
    <t>MARTEDI  POMERIGGIO  MERCOLEDI  POMERIGGIO</t>
  </si>
  <si>
    <t>SUPERMERCATO ROSSETTO</t>
  </si>
  <si>
    <t>DAI SPIGOI</t>
  </si>
  <si>
    <t>SAN MARTINO DI LUPARI</t>
  </si>
  <si>
    <t>VIA CAMILLO BENSO CONTE DI CAVOUR</t>
  </si>
  <si>
    <t>FAMILA S.MARTINO LUPARI</t>
  </si>
  <si>
    <t>VIA LEONARDO DA VINCI</t>
  </si>
  <si>
    <t>SANTA GIUSTINA IN COLLE</t>
  </si>
  <si>
    <t xml:space="preserve"> VIA SAN GIUSEPPE LAGO</t>
  </si>
  <si>
    <t>VIA DEI CUSTOZA</t>
  </si>
  <si>
    <t>MAORI</t>
  </si>
  <si>
    <t>SAONARA</t>
  </si>
  <si>
    <t>PIAZZA TRICOLORE</t>
  </si>
  <si>
    <t>DA POI</t>
  </si>
  <si>
    <t>VIA GROLLI</t>
  </si>
  <si>
    <t>MARTEDI  POMERIGGIO  MERCOLEDI  MATTINO</t>
  </si>
  <si>
    <t>ENNE BAR</t>
  </si>
  <si>
    <t>VIA XX SETTEMBRE</t>
  </si>
  <si>
    <t>SELVAZZANO DENTRO</t>
  </si>
  <si>
    <t>LA GRAMIGNA PIZZ.</t>
  </si>
  <si>
    <t>VIA SCAPACCHIO'</t>
  </si>
  <si>
    <t>VECIA TENCAROLA</t>
  </si>
  <si>
    <t>CAIRO CAFFE'</t>
  </si>
  <si>
    <t>BAR AL COLLAUDO</t>
  </si>
  <si>
    <t>VIA GIUSEPPE PARINI</t>
  </si>
  <si>
    <t>GERLY'S BAR CAFFETTERIA</t>
  </si>
  <si>
    <t>CAFFE' NOVECENTO</t>
  </si>
  <si>
    <t>PIAZZA DE' CLARICINI</t>
  </si>
  <si>
    <t xml:space="preserve">MAXI EMMEGI </t>
  </si>
  <si>
    <t>SOLESINO</t>
  </si>
  <si>
    <t>VIA NAZIONALE</t>
  </si>
  <si>
    <t>DOMENICA  POMERIGGIO    TUTTO IL GIORNO</t>
  </si>
  <si>
    <t>MATTINA CAFFE'</t>
  </si>
  <si>
    <t>PIAZZA GIACOMO MATTEOTTI</t>
  </si>
  <si>
    <t>LUNEDI  POMERIGGIO    TUTTO IL GIORNO</t>
  </si>
  <si>
    <t>ELISIR DEL BOSCO PIZZERIA</t>
  </si>
  <si>
    <t>STANGHELLA</t>
  </si>
  <si>
    <t>BELLAVITA</t>
  </si>
  <si>
    <t>TEOLO</t>
  </si>
  <si>
    <t>VIA EUGANEA TREPONTI</t>
  </si>
  <si>
    <t>ALBERGO RISTORANTE TURETTA</t>
  </si>
  <si>
    <t>VIA CASTELNUOVO</t>
  </si>
  <si>
    <t>IL QUADRIFOGLIO PIZZERIA</t>
  </si>
  <si>
    <t>PIAZZA TITO LIVIO</t>
  </si>
  <si>
    <t>LOCANDA AL COLLE</t>
  </si>
  <si>
    <t>VIA EUGANEA</t>
  </si>
  <si>
    <t>CAFE' NOIR</t>
  </si>
  <si>
    <t>FAMILA TEOLO</t>
  </si>
  <si>
    <t>VIA EUGANEA SAN BIAGIO</t>
  </si>
  <si>
    <t>LA TAVERNETTA</t>
  </si>
  <si>
    <t>TOMBOLO</t>
  </si>
  <si>
    <t>VIA MONTE GRAPPA</t>
  </si>
  <si>
    <t>DAISY BAR</t>
  </si>
  <si>
    <t>TORREGLIA</t>
  </si>
  <si>
    <t>VIA SANDRO PERTINI</t>
  </si>
  <si>
    <t>SABATO      TUTTO IL GIORNO</t>
  </si>
  <si>
    <t>STORICA HOSTARIA BARACCA</t>
  </si>
  <si>
    <t>TREBASELEGHE</t>
  </si>
  <si>
    <t>VIA RONCHI</t>
  </si>
  <si>
    <t>MERCOLEDI  TUTTO IL GIORNO  MARTEDI  POMERIGGIO</t>
  </si>
  <si>
    <t>HANDY PUB</t>
  </si>
  <si>
    <t>VIA SAN PIO X</t>
  </si>
  <si>
    <t>ANTICO VETURO</t>
  </si>
  <si>
    <t>VIA VILLANOVA</t>
  </si>
  <si>
    <t>CRESTANELLO CAFFE'</t>
  </si>
  <si>
    <t>VIA MALCANTON</t>
  </si>
  <si>
    <t>TIME CAFE'</t>
  </si>
  <si>
    <t>YOKELZ . PLAN B</t>
  </si>
  <si>
    <t>PIAZZA GUGLIELMO MARCONI</t>
  </si>
  <si>
    <t>IL PAIOLO PIZZERIA</t>
  </si>
  <si>
    <t>TRIBANO</t>
  </si>
  <si>
    <t>VIA BARBARIGO</t>
  </si>
  <si>
    <t>VIGONZA</t>
  </si>
  <si>
    <t>VIA UDINE</t>
  </si>
  <si>
    <t>OASI BAR TABACCHERIA</t>
  </si>
  <si>
    <t>VIA CAMILLO BENSO CAVOUR</t>
  </si>
  <si>
    <t>LA VELA CAFE'</t>
  </si>
  <si>
    <t>VIALE DEL LAVORO</t>
  </si>
  <si>
    <t>IPERCOOP</t>
  </si>
  <si>
    <t>VIA REGIA</t>
  </si>
  <si>
    <t>LEMIDI KITCHEN &amp; BAR</t>
  </si>
  <si>
    <t>VIA GERMANIA</t>
  </si>
  <si>
    <t>LA VITE BIANCA</t>
  </si>
  <si>
    <t>MARCHIORO RISTORANTE PIZZERIA</t>
  </si>
  <si>
    <t>CAFFE' DEGLI ARTISTI</t>
  </si>
  <si>
    <t>SCALO 48</t>
  </si>
  <si>
    <t>TRATTORIA AI SIEGOI</t>
  </si>
  <si>
    <t>VIA PRATI</t>
  </si>
  <si>
    <t>CAMPAGNARO</t>
  </si>
  <si>
    <t>VIA CORNARA</t>
  </si>
  <si>
    <t>FAMILA VIGONZA</t>
  </si>
  <si>
    <t>AL LEONE</t>
  </si>
  <si>
    <t>VILLA DEL CONTE</t>
  </si>
  <si>
    <t>AL CAMPANILE</t>
  </si>
  <si>
    <t>VILLAFRANCA PADOVANA</t>
  </si>
  <si>
    <t>IL LAGO</t>
  </si>
  <si>
    <t>VIA OLMEO</t>
  </si>
  <si>
    <t>EMANUELA PIZZERIA</t>
  </si>
  <si>
    <t>VIA CAMPODORO</t>
  </si>
  <si>
    <t>TRATTORIA AL GALLO</t>
  </si>
  <si>
    <t>VIA PONTEROTTO</t>
  </si>
  <si>
    <t>FAMILA VILLAFRANCA PADOVANA</t>
  </si>
  <si>
    <t>VIA FIRENZE</t>
  </si>
  <si>
    <t>AL CANTON 3</t>
  </si>
  <si>
    <t>VILLANOVA DI CAMPOSAMPIERO</t>
  </si>
  <si>
    <t>AL TORCIO</t>
  </si>
  <si>
    <t>VO'</t>
  </si>
  <si>
    <t>PIAZZALE GIUSEPPE ZATTARIN</t>
  </si>
  <si>
    <t>TTB VO'</t>
  </si>
  <si>
    <t>FAST FOOD PANINOTECA</t>
  </si>
  <si>
    <t>MENSA</t>
  </si>
  <si>
    <t>RISTORANTE/TRATTORIA/OSTERIA/PIZZERIA</t>
  </si>
  <si>
    <t>TAVOLA CALDA/TAVOLA FREDDA</t>
  </si>
  <si>
    <t>ALIMENTARI/SUPERMERCATO/GASTRONOMIA</t>
  </si>
  <si>
    <t>ALTRO</t>
  </si>
  <si>
    <t xml:space="preserve">Nr </t>
  </si>
  <si>
    <t xml:space="preserve">Tipologia di esercizio </t>
  </si>
  <si>
    <t>ASPIAG SERVICE SRL</t>
  </si>
  <si>
    <t>40/C</t>
  </si>
  <si>
    <t>35031</t>
  </si>
  <si>
    <t>BAR AL VIALE SAS</t>
  </si>
  <si>
    <t>30</t>
  </si>
  <si>
    <t>DAMIANI ROBERTO</t>
  </si>
  <si>
    <t>DEVIS GARDIN</t>
  </si>
  <si>
    <t>18</t>
  </si>
  <si>
    <t>GIALLO ARANCIO SAS</t>
  </si>
  <si>
    <t>116</t>
  </si>
  <si>
    <t>IL GUSTO SAS</t>
  </si>
  <si>
    <t>73</t>
  </si>
  <si>
    <t>PIZZERIA MANZONI SAS</t>
  </si>
  <si>
    <t>29</t>
  </si>
  <si>
    <t>RISTOBAR GIAMBRA SNC</t>
  </si>
  <si>
    <t>24</t>
  </si>
  <si>
    <t>TRE A.M.P. SRL</t>
  </si>
  <si>
    <t>12/13</t>
  </si>
  <si>
    <t>BENNY SAS</t>
  </si>
  <si>
    <t>9</t>
  </si>
  <si>
    <t>35021</t>
  </si>
  <si>
    <t>ALVEX SRL</t>
  </si>
  <si>
    <t>33</t>
  </si>
  <si>
    <t>35020</t>
  </si>
  <si>
    <t>1</t>
  </si>
  <si>
    <t>AZZURRA SAS</t>
  </si>
  <si>
    <t>3</t>
  </si>
  <si>
    <t>HU XIAOFEN</t>
  </si>
  <si>
    <t>L'ALBERO DEL GUSTO SRL</t>
  </si>
  <si>
    <t>1/6</t>
  </si>
  <si>
    <t>L'ARTE DELLA PASTICCERIA SNC</t>
  </si>
  <si>
    <t>76</t>
  </si>
  <si>
    <t>RIST.OASI SRL</t>
  </si>
  <si>
    <t>SANISA SRL</t>
  </si>
  <si>
    <t>2</t>
  </si>
  <si>
    <t>SUPERMERCATI LAZZARINI SRL</t>
  </si>
  <si>
    <t>67</t>
  </si>
  <si>
    <t>79</t>
  </si>
  <si>
    <t>35022</t>
  </si>
  <si>
    <t>LAZZARIN GABRIELINA</t>
  </si>
  <si>
    <t>51</t>
  </si>
  <si>
    <t>BREGANTIN ENRICO</t>
  </si>
  <si>
    <t>68/B</t>
  </si>
  <si>
    <t>35023</t>
  </si>
  <si>
    <t>BAR NEOCLASSICO SNC</t>
  </si>
  <si>
    <t>162</t>
  </si>
  <si>
    <t>35010</t>
  </si>
  <si>
    <t>ONGARATO SRL</t>
  </si>
  <si>
    <t>VENETA CHEF SRL</t>
  </si>
  <si>
    <t>14</t>
  </si>
  <si>
    <t>CARRARO NATALINO</t>
  </si>
  <si>
    <t>5</t>
  </si>
  <si>
    <t>ANGI CRISTINA</t>
  </si>
  <si>
    <t>7</t>
  </si>
  <si>
    <t>DA GAMBARO SRLS</t>
  </si>
  <si>
    <t>ROCCO LIVIO</t>
  </si>
  <si>
    <t>THINK P  DI CASTIGLIONE D.</t>
  </si>
  <si>
    <t>AL PONTE SNC</t>
  </si>
  <si>
    <t>106</t>
  </si>
  <si>
    <t>DADO SPA</t>
  </si>
  <si>
    <t>147</t>
  </si>
  <si>
    <t>BAR RISTORANTI GUSTO' SRL</t>
  </si>
  <si>
    <t>11</t>
  </si>
  <si>
    <t>35011</t>
  </si>
  <si>
    <t>COSTA DANIELE</t>
  </si>
  <si>
    <t>218/A</t>
  </si>
  <si>
    <t>GRIGGIO PATRIZIO</t>
  </si>
  <si>
    <t>TRATTORIA LA CAMPAGNOLA SAS</t>
  </si>
  <si>
    <t>12</t>
  </si>
  <si>
    <t>UNICOMM SRL SOC.UNIPERSONALE</t>
  </si>
  <si>
    <t>36/A</t>
  </si>
  <si>
    <t>AM SRL</t>
  </si>
  <si>
    <t>8</t>
  </si>
  <si>
    <t>35012</t>
  </si>
  <si>
    <t>SNC</t>
  </si>
  <si>
    <t>C.D. TEAM SAS</t>
  </si>
  <si>
    <t>15</t>
  </si>
  <si>
    <t>DIONESE MASSIMO</t>
  </si>
  <si>
    <t>37</t>
  </si>
  <si>
    <t>LIDL ITALIA SRL</t>
  </si>
  <si>
    <t>OBETTI LUCIA</t>
  </si>
  <si>
    <t>65</t>
  </si>
  <si>
    <t>PERIN SNC</t>
  </si>
  <si>
    <t>41</t>
  </si>
  <si>
    <t>RIVIERA SNC</t>
  </si>
  <si>
    <t>NUOVA FUTURA</t>
  </si>
  <si>
    <t>GALLOCCHIO SETTIMO</t>
  </si>
  <si>
    <t>104</t>
  </si>
  <si>
    <t>35025</t>
  </si>
  <si>
    <t>TRATT. ALLE STATUE SNC</t>
  </si>
  <si>
    <t>80</t>
  </si>
  <si>
    <t>CERANTOLA SILVIA</t>
  </si>
  <si>
    <t>23/A</t>
  </si>
  <si>
    <t>35030</t>
  </si>
  <si>
    <t>BERTELLE DANIELE</t>
  </si>
  <si>
    <t>BERNARDI LORIS</t>
  </si>
  <si>
    <t>35013</t>
  </si>
  <si>
    <t>BIRRERIA TORRE SNC</t>
  </si>
  <si>
    <t>93</t>
  </si>
  <si>
    <t>CAFFE TREVISO SNC</t>
  </si>
  <si>
    <t>49/B</t>
  </si>
  <si>
    <t>CASALE LUCIANO</t>
  </si>
  <si>
    <t>34</t>
  </si>
  <si>
    <t>21</t>
  </si>
  <si>
    <t>FERRARI ORTOFRUTTA SNC</t>
  </si>
  <si>
    <t>PERUZZO FRANCESCO</t>
  </si>
  <si>
    <t>2/D</t>
  </si>
  <si>
    <t>RES.ETH. SRL</t>
  </si>
  <si>
    <t>SALBEGO GLORIA</t>
  </si>
  <si>
    <t>22</t>
  </si>
  <si>
    <t>CA.SA SNC</t>
  </si>
  <si>
    <t>8/B</t>
  </si>
  <si>
    <t>ROSTELLATO OLIVO &amp; C</t>
  </si>
  <si>
    <t>STRANO MA VERO SAS</t>
  </si>
  <si>
    <t>4</t>
  </si>
  <si>
    <t>35026</t>
  </si>
  <si>
    <t>FOOD SERVICE ITALIA SRL</t>
  </si>
  <si>
    <t>G.Y.M. SNC</t>
  </si>
  <si>
    <t>53</t>
  </si>
  <si>
    <t>LAZZARIN MARIA GRAZIA</t>
  </si>
  <si>
    <t>33/B</t>
  </si>
  <si>
    <t>MARANGON BATTISTINA</t>
  </si>
  <si>
    <t>63</t>
  </si>
  <si>
    <t>IRIS SRL</t>
  </si>
  <si>
    <t>LA FAMIGLIA SNC</t>
  </si>
  <si>
    <t>6</t>
  </si>
  <si>
    <t>FALCO D'ORO SNC</t>
  </si>
  <si>
    <t>10</t>
  </si>
  <si>
    <t xml:space="preserve">SERENA SNC </t>
  </si>
  <si>
    <t>SHANTI DI RIZZATO CRISTIANO</t>
  </si>
  <si>
    <t>STORICO 13 DI COSIMO BASILE</t>
  </si>
  <si>
    <t>MACULAN RUGGERO</t>
  </si>
  <si>
    <t>95</t>
  </si>
  <si>
    <t>TEMPORIN FRANCESCO</t>
  </si>
  <si>
    <t>16</t>
  </si>
  <si>
    <t>59</t>
  </si>
  <si>
    <t>35042</t>
  </si>
  <si>
    <t>BIG BEN SAS</t>
  </si>
  <si>
    <t>BOIN MATTEO</t>
  </si>
  <si>
    <t>43/F</t>
  </si>
  <si>
    <t>GASTR. SAN ROCCO SNC</t>
  </si>
  <si>
    <t>3/B</t>
  </si>
  <si>
    <t>GIACOMIN ANNAPAOLA</t>
  </si>
  <si>
    <t>IDEA NUOVA SRL</t>
  </si>
  <si>
    <t>L'OASI DEL PESCE S.R.L.</t>
  </si>
  <si>
    <t>205</t>
  </si>
  <si>
    <t>M.G.M. SAS</t>
  </si>
  <si>
    <t>OSTARIA NOVA DI SILVIA TOLIN</t>
  </si>
  <si>
    <t>61</t>
  </si>
  <si>
    <t>PASSAPAROLA SRL</t>
  </si>
  <si>
    <t>SCHIZZEROTTO RICCARDO</t>
  </si>
  <si>
    <t>SMANIO BAR SNC</t>
  </si>
  <si>
    <t>SUPERMERCATI ARENA SRL</t>
  </si>
  <si>
    <t>38</t>
  </si>
  <si>
    <t>13</t>
  </si>
  <si>
    <t>AL RAMON SAS</t>
  </si>
  <si>
    <t>29/2</t>
  </si>
  <si>
    <t>35014</t>
  </si>
  <si>
    <t>DA GODI SNC</t>
  </si>
  <si>
    <t>23</t>
  </si>
  <si>
    <t>BERTONCELLO ANDREA</t>
  </si>
  <si>
    <t>57/B</t>
  </si>
  <si>
    <t>35015</t>
  </si>
  <si>
    <t>RUFOLONI LORENZO</t>
  </si>
  <si>
    <t>40</t>
  </si>
  <si>
    <t>CAMILLA SRL</t>
  </si>
  <si>
    <t>35040</t>
  </si>
  <si>
    <t>CECCONELLO PAOLO</t>
  </si>
  <si>
    <t>28</t>
  </si>
  <si>
    <t>ANTONELLO RENATO</t>
  </si>
  <si>
    <t>ESU GESTIONE E SERVIZI SRL</t>
  </si>
  <si>
    <t>GALVAN BRUNA</t>
  </si>
  <si>
    <t>LEGNARO MARKET SNC</t>
  </si>
  <si>
    <t>124</t>
  </si>
  <si>
    <t>RISTOSYSTEM SAS</t>
  </si>
  <si>
    <t>246</t>
  </si>
  <si>
    <t>CIGIERRE COMP GEN RIST SPA</t>
  </si>
  <si>
    <t>DUESETTE SAS</t>
  </si>
  <si>
    <t>G &amp; D SNC</t>
  </si>
  <si>
    <t>2/E</t>
  </si>
  <si>
    <t>K 2 NEW SAS</t>
  </si>
  <si>
    <t>68</t>
  </si>
  <si>
    <t>LONGHIN WALTER</t>
  </si>
  <si>
    <t>MAGRINI MATTEO</t>
  </si>
  <si>
    <t>156</t>
  </si>
  <si>
    <t>NORDEST SNC</t>
  </si>
  <si>
    <t>PRIMIS SRL</t>
  </si>
  <si>
    <t>108</t>
  </si>
  <si>
    <t>PROGETTO GREENWICH SRL</t>
  </si>
  <si>
    <t>FIPEX SNC</t>
  </si>
  <si>
    <t>LOCANDA AURILIA SNC</t>
  </si>
  <si>
    <t>27</t>
  </si>
  <si>
    <t>SUPERLORIA SNC</t>
  </si>
  <si>
    <t>48</t>
  </si>
  <si>
    <t>35035</t>
  </si>
  <si>
    <t>NDS SAS</t>
  </si>
  <si>
    <t>PIZZERIA LA GHIOTTA R SAS</t>
  </si>
  <si>
    <t>TURATO MARA</t>
  </si>
  <si>
    <t>AL CAPITEO SNC</t>
  </si>
  <si>
    <t>20</t>
  </si>
  <si>
    <t>35043</t>
  </si>
  <si>
    <t>AUSTRALIAN BAR SNC</t>
  </si>
  <si>
    <t>8B</t>
  </si>
  <si>
    <t>BAR SPORT SNC</t>
  </si>
  <si>
    <t>EUROSERVICE ALBERGO ITALIA SNC</t>
  </si>
  <si>
    <t>17</t>
  </si>
  <si>
    <t>F.LLI MOLON SNC</t>
  </si>
  <si>
    <t>LA CAVEJA SRL</t>
  </si>
  <si>
    <t>31</t>
  </si>
  <si>
    <t>SIRONE SAS</t>
  </si>
  <si>
    <t>ZISCARDI PAOLO</t>
  </si>
  <si>
    <t>LA TORRETTA SRL</t>
  </si>
  <si>
    <t>35044</t>
  </si>
  <si>
    <t>ZANINI LUCA &amp; C. SAS</t>
  </si>
  <si>
    <t>LES ARCS SNC</t>
  </si>
  <si>
    <t>18/A</t>
  </si>
  <si>
    <t>35036</t>
  </si>
  <si>
    <t>TAVERNETTA SAS</t>
  </si>
  <si>
    <t>BIOSAPORI SRL</t>
  </si>
  <si>
    <t>35027</t>
  </si>
  <si>
    <t>GUZZO ELISA</t>
  </si>
  <si>
    <t>113</t>
  </si>
  <si>
    <t>INFINITY SRL</t>
  </si>
  <si>
    <t>56/A</t>
  </si>
  <si>
    <t>MARETTO SERENELLA</t>
  </si>
  <si>
    <t>45</t>
  </si>
  <si>
    <t>MELOGRANO PUB SNC</t>
  </si>
  <si>
    <t>58</t>
  </si>
  <si>
    <t>POLONIO MARIKA</t>
  </si>
  <si>
    <t>ULGELMO MAURO</t>
  </si>
  <si>
    <t>VESHI ERMIRA</t>
  </si>
  <si>
    <t>1-3-5</t>
  </si>
  <si>
    <t>ABI TAYEH FADY</t>
  </si>
  <si>
    <t>35129</t>
  </si>
  <si>
    <t>AGGUJARO IGNAZIO</t>
  </si>
  <si>
    <t>44</t>
  </si>
  <si>
    <t>35122</t>
  </si>
  <si>
    <t>AL BARETO SNC</t>
  </si>
  <si>
    <t>35131</t>
  </si>
  <si>
    <t>AL BUONGUSTAIO SAS</t>
  </si>
  <si>
    <t>96-C</t>
  </si>
  <si>
    <t>AL 94 SNC</t>
  </si>
  <si>
    <t>5B</t>
  </si>
  <si>
    <t>ANGIRO' SNC</t>
  </si>
  <si>
    <t>6/A</t>
  </si>
  <si>
    <t>35138</t>
  </si>
  <si>
    <t>ANTICO DESIDERIO SNC</t>
  </si>
  <si>
    <t>99</t>
  </si>
  <si>
    <t xml:space="preserve">ANTICO FORNO SRL </t>
  </si>
  <si>
    <t>71</t>
  </si>
  <si>
    <t>A.R. SNC</t>
  </si>
  <si>
    <t>50/B</t>
  </si>
  <si>
    <t>35127</t>
  </si>
  <si>
    <t>ARCADIA SRL</t>
  </si>
  <si>
    <t>35139</t>
  </si>
  <si>
    <t>ARES SRL</t>
  </si>
  <si>
    <t>35133</t>
  </si>
  <si>
    <t>ARIANNA RAGAZZO</t>
  </si>
  <si>
    <t>ARISTON SAS</t>
  </si>
  <si>
    <t>35121</t>
  </si>
  <si>
    <t>35137</t>
  </si>
  <si>
    <t>35142</t>
  </si>
  <si>
    <t>35125</t>
  </si>
  <si>
    <t>10/a</t>
  </si>
  <si>
    <t>35126</t>
  </si>
  <si>
    <t>35135</t>
  </si>
  <si>
    <t>134/A</t>
  </si>
  <si>
    <t>35128</t>
  </si>
  <si>
    <t>22/24</t>
  </si>
  <si>
    <t>AURORA 2C SNC</t>
  </si>
  <si>
    <t>BAGATTIN FRANCESCO</t>
  </si>
  <si>
    <t>BALLARIN ROBERTO</t>
  </si>
  <si>
    <t>BAR GALLERY SNC</t>
  </si>
  <si>
    <t>BAR LA SPECOLA SNC</t>
  </si>
  <si>
    <t>66</t>
  </si>
  <si>
    <t>35141</t>
  </si>
  <si>
    <t>BAR NEW ZIP</t>
  </si>
  <si>
    <t>14/C</t>
  </si>
  <si>
    <t>1/9</t>
  </si>
  <si>
    <t>BARISON CAROLINA</t>
  </si>
  <si>
    <t>100</t>
  </si>
  <si>
    <t>BASSAN ANNALISA</t>
  </si>
  <si>
    <t>B.B. SAS</t>
  </si>
  <si>
    <t>50</t>
  </si>
  <si>
    <t>BBC SNC</t>
  </si>
  <si>
    <t>BELLE EPOQUE SNC</t>
  </si>
  <si>
    <t>BE-MY MAISON SRL</t>
  </si>
  <si>
    <t>BENETOLLO MAURO</t>
  </si>
  <si>
    <t>185</t>
  </si>
  <si>
    <t>BERTIN PATRIZIO</t>
  </si>
  <si>
    <t>103</t>
  </si>
  <si>
    <t>BERTOLDO LIVIO</t>
  </si>
  <si>
    <t>70 INT 2</t>
  </si>
  <si>
    <t>BERTONI &amp; VOMIERO SNC</t>
  </si>
  <si>
    <t>49</t>
  </si>
  <si>
    <t>B.I. &amp; G.I. SNC</t>
  </si>
  <si>
    <t>10/B</t>
  </si>
  <si>
    <t>BOB ROCK SNC</t>
  </si>
  <si>
    <t>BONISTALLI GUIDO</t>
  </si>
  <si>
    <t>222</t>
  </si>
  <si>
    <t>BOSCARO GIANNI</t>
  </si>
  <si>
    <t>47</t>
  </si>
  <si>
    <t>BRIO EFFE SAS</t>
  </si>
  <si>
    <t>BROGGIO MATTEO</t>
  </si>
  <si>
    <t>BRUGNARA MASSIMO</t>
  </si>
  <si>
    <t>2/BIS</t>
  </si>
  <si>
    <t>BRUN PATRIZIA</t>
  </si>
  <si>
    <t>45A</t>
  </si>
  <si>
    <t>BYBA SRL</t>
  </si>
  <si>
    <t>C.A.F.E. SAS</t>
  </si>
  <si>
    <t>CAFFE' ANTILLE SNC</t>
  </si>
  <si>
    <t xml:space="preserve">CAFFE' LEONARDO SRL </t>
  </si>
  <si>
    <t>CAFFE' MISSAGLIA SAS</t>
  </si>
  <si>
    <t>CAFFETTERIA BEGGIO S.A.S. DI B</t>
  </si>
  <si>
    <t>CAGNIN VILBERTO</t>
  </si>
  <si>
    <t>CANOVA DONATELLA</t>
  </si>
  <si>
    <t>32</t>
  </si>
  <si>
    <t>CAPRICCIO SAS</t>
  </si>
  <si>
    <t>4/B</t>
  </si>
  <si>
    <t>CARRARO KETTY</t>
  </si>
  <si>
    <t>82</t>
  </si>
  <si>
    <t>57</t>
  </si>
  <si>
    <t>CASA DEL PELLEGRINO SRL</t>
  </si>
  <si>
    <t>35123</t>
  </si>
  <si>
    <t>CASANOVA MASSIMO</t>
  </si>
  <si>
    <t>129</t>
  </si>
  <si>
    <t>CASONETTO SNC</t>
  </si>
  <si>
    <t>CATTELAN FRANCESCO</t>
  </si>
  <si>
    <t>14/16</t>
  </si>
  <si>
    <t>CHECCHINI MIRCO</t>
  </si>
  <si>
    <t>42/A</t>
  </si>
  <si>
    <t>35136</t>
  </si>
  <si>
    <t>CHERUBINI ANNA</t>
  </si>
  <si>
    <t>CIBIS SRL</t>
  </si>
  <si>
    <t>CIR COOP. IT. DI RISTORAZ. S.C</t>
  </si>
  <si>
    <t>CI.T.S. SC</t>
  </si>
  <si>
    <t>COFFEE POINT SNC</t>
  </si>
  <si>
    <t>COLLE SRL</t>
  </si>
  <si>
    <t>1A</t>
  </si>
  <si>
    <t>COOP. SOCIALE PERCORSO VITA</t>
  </si>
  <si>
    <t>CORSO 222 SNC</t>
  </si>
  <si>
    <t>COSTACHI ALIONA</t>
  </si>
  <si>
    <t>CRETELLA RENATO</t>
  </si>
  <si>
    <t>CURCIO DAVIDE</t>
  </si>
  <si>
    <t>D &amp; D SNC</t>
  </si>
  <si>
    <t>4 A/B</t>
  </si>
  <si>
    <t>DA BOGA' SNC</t>
  </si>
  <si>
    <t>23/1</t>
  </si>
  <si>
    <t>DA PINO SRL</t>
  </si>
  <si>
    <t>DAI DUE SNC</t>
  </si>
  <si>
    <t>DE BIASI VALENTINA</t>
  </si>
  <si>
    <t>DE FAVERI EVA</t>
  </si>
  <si>
    <t>77</t>
  </si>
  <si>
    <t>DE GASPARI SERENA</t>
  </si>
  <si>
    <t>DE ROSSI S.A.S.</t>
  </si>
  <si>
    <t>229</t>
  </si>
  <si>
    <t>35134</t>
  </si>
  <si>
    <t>DESTITO SALVATORE</t>
  </si>
  <si>
    <t>35124</t>
  </si>
  <si>
    <t>D.M. SNC</t>
  </si>
  <si>
    <t>70/C</t>
  </si>
  <si>
    <t>DOCH SNC</t>
  </si>
  <si>
    <t>DOINA E GERRY SNC</t>
  </si>
  <si>
    <t>DOLCELANDIA SAS</t>
  </si>
  <si>
    <t>DREAM SOC. COOP. DI LAVORO ARL</t>
  </si>
  <si>
    <t>28/A</t>
  </si>
  <si>
    <t>DUE F SNC</t>
  </si>
  <si>
    <t>35</t>
  </si>
  <si>
    <t>DUE MONDI SRL</t>
  </si>
  <si>
    <t>123/125</t>
  </si>
  <si>
    <t>DUE SAS DI MANILA MANIERO &amp; C.</t>
  </si>
  <si>
    <t>DXP SRL</t>
  </si>
  <si>
    <t>EFFE EMME SAS</t>
  </si>
  <si>
    <t>EMMEP SAS</t>
  </si>
  <si>
    <t>EMMEPIERRE SRL</t>
  </si>
  <si>
    <t>9/A</t>
  </si>
  <si>
    <t>ENJOYLUNCH SNC</t>
  </si>
  <si>
    <t>ENOTECA LA MOSCHETA SNC</t>
  </si>
  <si>
    <t>ENOVA SOCIALE ONLUS</t>
  </si>
  <si>
    <t>96</t>
  </si>
  <si>
    <t>ERAL SAS DI COLZERA N.&amp; MASSIM</t>
  </si>
  <si>
    <t>ERREFFE SNC</t>
  </si>
  <si>
    <t>ESSETIESSE SNC</t>
  </si>
  <si>
    <t>EST SRL</t>
  </si>
  <si>
    <t>FASSINA GIANNI</t>
  </si>
  <si>
    <t>F&amp;B SNC</t>
  </si>
  <si>
    <t>67/A</t>
  </si>
  <si>
    <t>F.D.B. SAS</t>
  </si>
  <si>
    <t>119</t>
  </si>
  <si>
    <t>FINGER FOOD BAR SAS</t>
  </si>
  <si>
    <t>44/46</t>
  </si>
  <si>
    <t>FIORASO CLAUDIA</t>
  </si>
  <si>
    <t>43</t>
  </si>
  <si>
    <t>FIORITAL SPA</t>
  </si>
  <si>
    <t>F.LLI MOSCARDO SNC</t>
  </si>
  <si>
    <t>F.LLI ROSA SNC</t>
  </si>
  <si>
    <t>F.LLI STEFAN SNC</t>
  </si>
  <si>
    <t>FLY ART SRL</t>
  </si>
  <si>
    <t>FOOD AND BEVERAGE SNC</t>
  </si>
  <si>
    <t>69</t>
  </si>
  <si>
    <t>FOODELICIOUS SRL</t>
  </si>
  <si>
    <t>26</t>
  </si>
  <si>
    <t>FORMEL VENETO IMPRESA SRL UNIP</t>
  </si>
  <si>
    <t>64/A</t>
  </si>
  <si>
    <t>FUMAROLA MARCO</t>
  </si>
  <si>
    <t>GABRI &amp; GABRI'S SAS</t>
  </si>
  <si>
    <t>GALANTE MATTEO</t>
  </si>
  <si>
    <t>GALLO STEFANIA</t>
  </si>
  <si>
    <t>GAVIN MASSIMO</t>
  </si>
  <si>
    <t>25</t>
  </si>
  <si>
    <t>GELMARKET SRL</t>
  </si>
  <si>
    <t>16F</t>
  </si>
  <si>
    <t>GEODE SNC</t>
  </si>
  <si>
    <t>GHARAZZEDINE MAJED</t>
  </si>
  <si>
    <t>121</t>
  </si>
  <si>
    <t>GIALLO SNC</t>
  </si>
  <si>
    <t>GIEMME SNC</t>
  </si>
  <si>
    <t>19</t>
  </si>
  <si>
    <t>GIEMME SRL</t>
  </si>
  <si>
    <t>GIORDANO ANGELINA</t>
  </si>
  <si>
    <t>GIORDANO GIUSEPPINA</t>
  </si>
  <si>
    <t>20/A</t>
  </si>
  <si>
    <t>GOLDEN COFFEE DI MARIUZZO GIOV</t>
  </si>
  <si>
    <t>42</t>
  </si>
  <si>
    <t>GORDO'S SNC</t>
  </si>
  <si>
    <t>GRUPPO NEGOZI SRL</t>
  </si>
  <si>
    <t>GUSTO' SNC</t>
  </si>
  <si>
    <t>HAPPY HOUR BARS SRL</t>
  </si>
  <si>
    <t>HM ARZIGNANO SRL</t>
  </si>
  <si>
    <t>2/F</t>
  </si>
  <si>
    <t>I SUSHI PADOVA SAS</t>
  </si>
  <si>
    <t>8/D</t>
  </si>
  <si>
    <t>IDEA SAS</t>
  </si>
  <si>
    <t>51/7</t>
  </si>
  <si>
    <t>IDEM SNC DI MIRUSHI EDVIN</t>
  </si>
  <si>
    <t>135</t>
  </si>
  <si>
    <t>IKEA ITALIA RETAIL</t>
  </si>
  <si>
    <t>5/C</t>
  </si>
  <si>
    <t>IL CHICCO DI SETTE KATIA</t>
  </si>
  <si>
    <t>84</t>
  </si>
  <si>
    <t>IL MELOGRANO SNC</t>
  </si>
  <si>
    <t>INDIVIA SRL</t>
  </si>
  <si>
    <t>35143</t>
  </si>
  <si>
    <t>INTERNAZIONALE SRL</t>
  </si>
  <si>
    <t>23/R</t>
  </si>
  <si>
    <t>INTERPRODUCT SNC</t>
  </si>
  <si>
    <t>J. S. SNC</t>
  </si>
  <si>
    <t>JI DUOHUA</t>
  </si>
  <si>
    <t>JL SRL</t>
  </si>
  <si>
    <t>62</t>
  </si>
  <si>
    <t>JOLLY ALIMENTARI SNC</t>
  </si>
  <si>
    <t>11/17</t>
  </si>
  <si>
    <t>KEMPES SNC</t>
  </si>
  <si>
    <t>15/17</t>
  </si>
  <si>
    <t>KOFLER GROUP SRL</t>
  </si>
  <si>
    <t>LA BUONACUCINA SAS</t>
  </si>
  <si>
    <t>161</t>
  </si>
  <si>
    <t>LA CASA DEL PARMIGIANO SNC</t>
  </si>
  <si>
    <t xml:space="preserve">LA MONGOLFIERA SRL </t>
  </si>
  <si>
    <t>5/6</t>
  </si>
  <si>
    <t>LA SIRENA S.R.L.</t>
  </si>
  <si>
    <t>LABRIOLA ROSA</t>
  </si>
  <si>
    <t>L'ALTERNATIVA SAS</t>
  </si>
  <si>
    <t>LE COLONNE SRLS</t>
  </si>
  <si>
    <t>LE FLAMBOYANT SRL</t>
  </si>
  <si>
    <t>LELLI LOREDANA</t>
  </si>
  <si>
    <t>LI YIPING</t>
  </si>
  <si>
    <t>74</t>
  </si>
  <si>
    <t>LIBRALESSO DANIELE</t>
  </si>
  <si>
    <t>LIN JIANGHUA</t>
  </si>
  <si>
    <t>LIN XIAOPIN</t>
  </si>
  <si>
    <t>L'INTERMEZZO SNC</t>
  </si>
  <si>
    <t>LONGO ALESSANDRO</t>
  </si>
  <si>
    <t>MABE SRL</t>
  </si>
  <si>
    <t>MAPPA SRL</t>
  </si>
  <si>
    <t>55</t>
  </si>
  <si>
    <t>MARKET DE.MA</t>
  </si>
  <si>
    <t>80/82</t>
  </si>
  <si>
    <t>MASON FERRUCCIO</t>
  </si>
  <si>
    <t>MAXMILIAN SNC</t>
  </si>
  <si>
    <t>12/1</t>
  </si>
  <si>
    <t>MICHELOTTO MICHELE</t>
  </si>
  <si>
    <t>MICHIELI GIANFRANCO</t>
  </si>
  <si>
    <t>MIDARI SNC</t>
  </si>
  <si>
    <t>MILAN &amp; SARTORI SNC</t>
  </si>
  <si>
    <t>MILANO CAFE' SNC</t>
  </si>
  <si>
    <t>MINOZZI ALBERTO</t>
  </si>
  <si>
    <t>MIOZZO MICHELE</t>
  </si>
  <si>
    <t>MMA SNC</t>
  </si>
  <si>
    <t>M.P. SNC</t>
  </si>
  <si>
    <t>MUNERATO GROUP SRL</t>
  </si>
  <si>
    <t>MY WORLD SNC</t>
  </si>
  <si>
    <t>NALESSO DIEGO</t>
  </si>
  <si>
    <t>NEW INVEST SAS</t>
  </si>
  <si>
    <t>133</t>
  </si>
  <si>
    <t>NEW LIFE SNC</t>
  </si>
  <si>
    <t>NOALE SRL</t>
  </si>
  <si>
    <t>NOI TRE SAS</t>
  </si>
  <si>
    <t>NO.RA SNC</t>
  </si>
  <si>
    <t>35132</t>
  </si>
  <si>
    <t>ONGA SNC</t>
  </si>
  <si>
    <t>56</t>
  </si>
  <si>
    <t>OPTIMUS SRLS</t>
  </si>
  <si>
    <t>11/A</t>
  </si>
  <si>
    <t>ORANGE CAFE SNC</t>
  </si>
  <si>
    <t>33/34</t>
  </si>
  <si>
    <t>ORIKOS SRL</t>
  </si>
  <si>
    <t>PALAZZETTO SRL</t>
  </si>
  <si>
    <t>PANE E MIELE SAS</t>
  </si>
  <si>
    <t>PARCO DEL BRENTA SRL</t>
  </si>
  <si>
    <t>1/E</t>
  </si>
  <si>
    <t>PASTA E SUGO RETAIL PADOVA SRL</t>
  </si>
  <si>
    <t>PASTICCERIA GRAZIATI SAS</t>
  </si>
  <si>
    <t>P&amp;B SRL</t>
  </si>
  <si>
    <t>P.B.+B SRL</t>
  </si>
  <si>
    <t>PEDRON SAS</t>
  </si>
  <si>
    <t>PERIN DEBORA</t>
  </si>
  <si>
    <t>PFP SNC</t>
  </si>
  <si>
    <t>15/16</t>
  </si>
  <si>
    <t>PICCOLO COLLE ANTICO SRL</t>
  </si>
  <si>
    <t>PINZIMONIO SNC</t>
  </si>
  <si>
    <t>279</t>
  </si>
  <si>
    <t>PIZZA NEW SPA</t>
  </si>
  <si>
    <t>PIZZERIA ARIZONA SNC</t>
  </si>
  <si>
    <t>126</t>
  </si>
  <si>
    <t>PIZZERIA DA ANDREA SRLS</t>
  </si>
  <si>
    <t>PIZZERIA DA VANNI SAS</t>
  </si>
  <si>
    <t>92</t>
  </si>
  <si>
    <t>PIZZERIE MANDRILLO</t>
  </si>
  <si>
    <t>PLANET CAFE' SAS</t>
  </si>
  <si>
    <t>232</t>
  </si>
  <si>
    <t>PLANET PIADA SAS</t>
  </si>
  <si>
    <t>P.M. DI PAVIN MAURIZIO</t>
  </si>
  <si>
    <t>41/43</t>
  </si>
  <si>
    <t>POLETTA ELISABETTA</t>
  </si>
  <si>
    <t>POLITO ENZO</t>
  </si>
  <si>
    <t>POPA SVETLANA</t>
  </si>
  <si>
    <t>PUNTO IN SNC</t>
  </si>
  <si>
    <t>15/B</t>
  </si>
  <si>
    <t>QURESH SAS</t>
  </si>
  <si>
    <t>104/C</t>
  </si>
  <si>
    <t>RAMPIN MARCO</t>
  </si>
  <si>
    <t>RANGO BAR SNC</t>
  </si>
  <si>
    <t>RIDAL SRL</t>
  </si>
  <si>
    <t>RIGHETTO EMANUELE</t>
  </si>
  <si>
    <t>RIGHETTO T. &amp; C. SNC</t>
  </si>
  <si>
    <t>RIST. WOK SUSHI PADOVA SNC</t>
  </si>
  <si>
    <t>64/66</t>
  </si>
  <si>
    <t>60</t>
  </si>
  <si>
    <t>RISTOBREAK SRL</t>
  </si>
  <si>
    <t>RIST.PIZZ.GIORDANO</t>
  </si>
  <si>
    <t>ROVERATO GOTTARDO</t>
  </si>
  <si>
    <t>RUBINO MASSIMO</t>
  </si>
  <si>
    <t>SACCON SIMONE</t>
  </si>
  <si>
    <t>4/C</t>
  </si>
  <si>
    <t>SACRA FAMIGLIA SNC</t>
  </si>
  <si>
    <t>S'ALIGUSTA/FALKO SRL</t>
  </si>
  <si>
    <t>SAMBA SNC</t>
  </si>
  <si>
    <t>SAVELLI SRLS</t>
  </si>
  <si>
    <t>81</t>
  </si>
  <si>
    <t>SAVONAROLA SRL</t>
  </si>
  <si>
    <t>SCATTOLIN ARTURO</t>
  </si>
  <si>
    <t>SCIA LUIGI</t>
  </si>
  <si>
    <t>SERENISSIMA RISTORAZIONE SPA</t>
  </si>
  <si>
    <t xml:space="preserve">SG FOOD &amp; SERVICE SRL </t>
  </si>
  <si>
    <t>11/114</t>
  </si>
  <si>
    <t>SILECCHIA ERMENEGILDO</t>
  </si>
  <si>
    <t>SIRIO SPA</t>
  </si>
  <si>
    <t>SMS GESTIONI SAS</t>
  </si>
  <si>
    <t>3/5</t>
  </si>
  <si>
    <t>38/1</t>
  </si>
  <si>
    <t>SPAK MARKET SRL</t>
  </si>
  <si>
    <t>94/A</t>
  </si>
  <si>
    <t>SRL SO.GE.RI</t>
  </si>
  <si>
    <t>STEP CAFE ILAL SAS</t>
  </si>
  <si>
    <t>STILE CAFFE SNC</t>
  </si>
  <si>
    <t>SUSHI BAR SUKII DIHUANG FEIFEI</t>
  </si>
  <si>
    <t>12/G</t>
  </si>
  <si>
    <t>TESSARI MARCO</t>
  </si>
  <si>
    <t>TOP FOOD SRL</t>
  </si>
  <si>
    <t>79/A</t>
  </si>
  <si>
    <t>TRE SCALINI SNC</t>
  </si>
  <si>
    <t>TREVISAN DAMIANO</t>
  </si>
  <si>
    <t>114</t>
  </si>
  <si>
    <t>TURETTA MICHELE</t>
  </si>
  <si>
    <t>78</t>
  </si>
  <si>
    <t>VANESSA SNC</t>
  </si>
  <si>
    <t>VAROTTO LUCA</t>
  </si>
  <si>
    <t>VEGANDA SAS</t>
  </si>
  <si>
    <t>87</t>
  </si>
  <si>
    <t>VEGRA CAMIN SRL</t>
  </si>
  <si>
    <t>70</t>
  </si>
  <si>
    <t>23/G</t>
  </si>
  <si>
    <t>V.E.M. SNC</t>
  </si>
  <si>
    <t>VENTINOVE SAS</t>
  </si>
  <si>
    <t>64</t>
  </si>
  <si>
    <t>VIGILANTE ALESSANDRO</t>
  </si>
  <si>
    <t>75</t>
  </si>
  <si>
    <t>VITTORIA LUANA SNC</t>
  </si>
  <si>
    <t>26/B</t>
  </si>
  <si>
    <t>WORK CROSSING COOP SOC.P.A</t>
  </si>
  <si>
    <t>YUKI SRL</t>
  </si>
  <si>
    <t>7/9</t>
  </si>
  <si>
    <t>ZAGOLIN SNC</t>
  </si>
  <si>
    <t>ZAS SRL</t>
  </si>
  <si>
    <t>ZENZERO SAS</t>
  </si>
  <si>
    <t>ZHU LIFANG</t>
  </si>
  <si>
    <t>88 RISTORANTE SRL</t>
  </si>
  <si>
    <t>31/A</t>
  </si>
  <si>
    <t>CAFFE' COLONNA SNC</t>
  </si>
  <si>
    <t>46</t>
  </si>
  <si>
    <t>35016</t>
  </si>
  <si>
    <t>DA CORRADO TRATTORIA</t>
  </si>
  <si>
    <t>HORVATH ATTILA &amp; C.</t>
  </si>
  <si>
    <t>LA TORRE SAS</t>
  </si>
  <si>
    <t>MIOLO ALESSANDRO</t>
  </si>
  <si>
    <t>POLATI DI POLATI FABIO</t>
  </si>
  <si>
    <t>PRETTO SERENA</t>
  </si>
  <si>
    <t>35017</t>
  </si>
  <si>
    <t>ZIZZOLA MARTINO</t>
  </si>
  <si>
    <t>ANTICA ALBORA SNC</t>
  </si>
  <si>
    <t>35028</t>
  </si>
  <si>
    <t>AROMI SRL</t>
  </si>
  <si>
    <t>CUCCATO GIOVANNI</t>
  </si>
  <si>
    <t>D &amp; G SNC</t>
  </si>
  <si>
    <t>72</t>
  </si>
  <si>
    <t>D.A.F. SNC</t>
  </si>
  <si>
    <t>1/4</t>
  </si>
  <si>
    <t>DAL SANTO CAROLINA</t>
  </si>
  <si>
    <t>DOC SOCIETA' A RESPONSABILITA'</t>
  </si>
  <si>
    <t>GASTRONOMIA PIOVESE SRL</t>
  </si>
  <si>
    <t>SARTORE LORIS</t>
  </si>
  <si>
    <t>VESNA KOCIJANCIC</t>
  </si>
  <si>
    <t>2 ZETA OIL SNC</t>
  </si>
  <si>
    <t>DEA DUE SNC</t>
  </si>
  <si>
    <t>MILAN EREDI SNC</t>
  </si>
  <si>
    <t>FASOLO MAURO</t>
  </si>
  <si>
    <t>COOP SOC COISLHA SCS</t>
  </si>
  <si>
    <t>CUNICO ENRICO</t>
  </si>
  <si>
    <t>EVOLUTION SRL</t>
  </si>
  <si>
    <t>F.LLI PIZZEGHELLO SNC</t>
  </si>
  <si>
    <t>52</t>
  </si>
  <si>
    <t>GALA' SNC</t>
  </si>
  <si>
    <t>L'INTERVALLO SRL</t>
  </si>
  <si>
    <t xml:space="preserve">QUALUNQUEMENTE SAS DI FERRATO </t>
  </si>
  <si>
    <t>QUARANTA SAS</t>
  </si>
  <si>
    <t>REGUSTO SAS</t>
  </si>
  <si>
    <t>RENGO ROBERTO</t>
  </si>
  <si>
    <t>SETTE MARTINA</t>
  </si>
  <si>
    <t>TODESCATO GIORGIO</t>
  </si>
  <si>
    <t>TWINS SRL UNIPERSONALE</t>
  </si>
  <si>
    <t>DA AMADEO MUNARO SNC</t>
  </si>
  <si>
    <t>130</t>
  </si>
  <si>
    <t>ROSSETTO TRADE SPA</t>
  </si>
  <si>
    <t>1 INT 13</t>
  </si>
  <si>
    <t>SPIGOLI SAS</t>
  </si>
  <si>
    <t>35018</t>
  </si>
  <si>
    <t>GOLLO DEBORA</t>
  </si>
  <si>
    <t>NARDI STEFANIA</t>
  </si>
  <si>
    <t>30/A</t>
  </si>
  <si>
    <t>FAORO NADIA SAS</t>
  </si>
  <si>
    <t>F.LLI ROSSETTO SNC</t>
  </si>
  <si>
    <t>GRIGOLETTO FIORENZO</t>
  </si>
  <si>
    <t>ORCHIDEA SNC</t>
  </si>
  <si>
    <t>SCALCIONE GERARDO CARMELO</t>
  </si>
  <si>
    <t>SODEXO ITALIA SPA</t>
  </si>
  <si>
    <t xml:space="preserve">MAXI EMMEGI SRL </t>
  </si>
  <si>
    <t>1339</t>
  </si>
  <si>
    <t>35047</t>
  </si>
  <si>
    <t>PELLIZZARI CRISTINA</t>
  </si>
  <si>
    <t>ELISIR DEL BOSCO SNC</t>
  </si>
  <si>
    <t>35048</t>
  </si>
  <si>
    <t>BELLAVITA SAS</t>
  </si>
  <si>
    <t>35037</t>
  </si>
  <si>
    <t>FACCHIN MARIA</t>
  </si>
  <si>
    <t>IL QUADRIFOGLIO SRL</t>
  </si>
  <si>
    <t>LOCANDA AL COLLE SRL</t>
  </si>
  <si>
    <t>86/88/90</t>
  </si>
  <si>
    <t>PERDONCIN DEMIS</t>
  </si>
  <si>
    <t>8/A</t>
  </si>
  <si>
    <t>LA TAVERNETTA SAS</t>
  </si>
  <si>
    <t>35019</t>
  </si>
  <si>
    <t>SERAVALLE NICOLETTA</t>
  </si>
  <si>
    <t>35038</t>
  </si>
  <si>
    <t>ALL'ANTICA TRATT. BARACCA SAS</t>
  </si>
  <si>
    <t>AMATRUDA SNC</t>
  </si>
  <si>
    <t>LA SPERANZA SRL</t>
  </si>
  <si>
    <t>SETT SRL</t>
  </si>
  <si>
    <t>TONELLO PATRIZIA</t>
  </si>
  <si>
    <t>67/G</t>
  </si>
  <si>
    <t>YOKELZ SNC</t>
  </si>
  <si>
    <t>RITRA SRL</t>
  </si>
  <si>
    <t>BAR OASI SAS</t>
  </si>
  <si>
    <t>CAFE' LA VELA SNC</t>
  </si>
  <si>
    <t>2/A</t>
  </si>
  <si>
    <t>COOP ALLEANZA 3.0 DIV.ADRIATIC</t>
  </si>
  <si>
    <t>86</t>
  </si>
  <si>
    <t>DIAL SRL</t>
  </si>
  <si>
    <t>MAI DIRE MAI SNC</t>
  </si>
  <si>
    <t>MARCHIORO SAS</t>
  </si>
  <si>
    <t>32/A</t>
  </si>
  <si>
    <t>SCALO 48 SNC</t>
  </si>
  <si>
    <t>TRATTORIA AI SIEGOI SRLS</t>
  </si>
  <si>
    <t>TRATTORIA CAMPAGNARO SRL</t>
  </si>
  <si>
    <t>MAGRIN E. &amp; F.LLI BERALDO</t>
  </si>
  <si>
    <t>54</t>
  </si>
  <si>
    <t>AL CAMPANILE SRL</t>
  </si>
  <si>
    <t>IL LAGO SRL</t>
  </si>
  <si>
    <t>MARCHIORON EMANUELA</t>
  </si>
  <si>
    <t>TRATTORIA AL GALLO SRL</t>
  </si>
  <si>
    <t>76/A</t>
  </si>
  <si>
    <t>AL CANTON 3 CDM SRL</t>
  </si>
  <si>
    <t>AL TORCIO SNC</t>
  </si>
  <si>
    <t>SUPERMERCATI T.T.B. SRL</t>
  </si>
  <si>
    <t>602</t>
  </si>
  <si>
    <t>Tipologia di esercizio (vedi tab Tipologie Esercizio)</t>
  </si>
  <si>
    <t>PIZZ.DA SILVIO DI KRUNIC R.&amp;C.</t>
  </si>
  <si>
    <t>DA SILVIO PIZZERIA</t>
  </si>
  <si>
    <t>BL</t>
  </si>
  <si>
    <t>AGORDO</t>
  </si>
  <si>
    <t>VIA PRAGRANDE</t>
  </si>
  <si>
    <t>GIOVEDI</t>
  </si>
  <si>
    <t>SUPER A&amp;O ALPAGO</t>
  </si>
  <si>
    <t>ALPAGO</t>
  </si>
  <si>
    <t>VIALE ALPAGO</t>
  </si>
  <si>
    <t>ACAMPORA CONCETTA &amp; C SNC</t>
  </si>
  <si>
    <t>LA BUSSOLA PIZZ.</t>
  </si>
  <si>
    <t>BELLUNO</t>
  </si>
  <si>
    <t>VIA VITTORIO VENETO</t>
  </si>
  <si>
    <t>AL CENTRO RISTORANTE SRL</t>
  </si>
  <si>
    <t>AL CENTRO RISTORANTE</t>
  </si>
  <si>
    <t>PIAZZA GIORGIO PILONI</t>
  </si>
  <si>
    <t>AL PONTE DELLA VITTORIA &amp; C.</t>
  </si>
  <si>
    <t>AL PONTE DELLA VITTORIA</t>
  </si>
  <si>
    <t>DOMENICA    SABATO  MATTINO</t>
  </si>
  <si>
    <t>VIALE EUROPA</t>
  </si>
  <si>
    <t>BAREL MASSIMO</t>
  </si>
  <si>
    <t>LA MINIERA</t>
  </si>
  <si>
    <t>PIAZZA SANTO STEFANO</t>
  </si>
  <si>
    <t>DORSEK LSELOTTE</t>
  </si>
  <si>
    <t>SIESTA</t>
  </si>
  <si>
    <t>VIALE GIUSEPPE FANTUZZI</t>
  </si>
  <si>
    <t>ESSEBI SAS</t>
  </si>
  <si>
    <t>VIA FELTRE</t>
  </si>
  <si>
    <t>IL GRIFONE SRL - UNIPERSONALE</t>
  </si>
  <si>
    <t>VIA NONGOLE</t>
  </si>
  <si>
    <t>VIA XXX APRILE</t>
  </si>
  <si>
    <t>LA ROSSA PIZZERIA RIST. SAS</t>
  </si>
  <si>
    <t>LA ROSSA</t>
  </si>
  <si>
    <t>VIA TIZIANO VECELLIO</t>
  </si>
  <si>
    <t>MARKET CLIMB SNC</t>
  </si>
  <si>
    <t>VIA LUNGARDO</t>
  </si>
  <si>
    <t>MONTEGRAPPA SNC</t>
  </si>
  <si>
    <t>MONTEGRAPPA</t>
  </si>
  <si>
    <t>PANARIELLO ANNAMARIA SAS</t>
  </si>
  <si>
    <t>SCACCO MATTO PIZZERIA</t>
  </si>
  <si>
    <t>VIA ANDREA DI FORO</t>
  </si>
  <si>
    <t>PIZZERIA GARDEN F40 SNC</t>
  </si>
  <si>
    <t>GARDEN F40</t>
  </si>
  <si>
    <t>PIAZZA DEI MARTIRI</t>
  </si>
  <si>
    <t>VENERDI</t>
  </si>
  <si>
    <t>RISTORANTE LA NICCHIA SNC</t>
  </si>
  <si>
    <t>RISTORANTE LA NICCHIA</t>
  </si>
  <si>
    <t>STELLA ALPINA RISTORAZ. SRLS</t>
  </si>
  <si>
    <t>ARTUSI</t>
  </si>
  <si>
    <t>SVINE S.R.L.</t>
  </si>
  <si>
    <t>CAFFE' BRISTOT</t>
  </si>
  <si>
    <t>VIA RODOLFO PSARO</t>
  </si>
  <si>
    <t>EMISFERO BELLUNO</t>
  </si>
  <si>
    <t>VIA MARIANO TONEGUTTI</t>
  </si>
  <si>
    <t>LUNEDI  MATTINO</t>
  </si>
  <si>
    <t>FAMILA BELLUNO</t>
  </si>
  <si>
    <t>MEGA BELLUNO</t>
  </si>
  <si>
    <t>VILLANI G.&amp; C SNC</t>
  </si>
  <si>
    <t>ALLA BELLA NAPOLI</t>
  </si>
  <si>
    <t>CALALZO DI CADORE</t>
  </si>
  <si>
    <t>VIA STAZIONE</t>
  </si>
  <si>
    <t>BOSCARIN EZIO &amp; C. SNC</t>
  </si>
  <si>
    <t>BOSCARIN EZIO</t>
  </si>
  <si>
    <t>FELTRE</t>
  </si>
  <si>
    <t>VIA VETTE</t>
  </si>
  <si>
    <t>COOP</t>
  </si>
  <si>
    <t>VIALE DEL PIAVE</t>
  </si>
  <si>
    <t>PIAZZALE TANCREDI PARMEGGIANI</t>
  </si>
  <si>
    <t>IL SOLE DI NAPOLI</t>
  </si>
  <si>
    <t>VIA CARLO RIZZARDA</t>
  </si>
  <si>
    <t>MI.VA. SAS</t>
  </si>
  <si>
    <t>LA CUBA</t>
  </si>
  <si>
    <t>PIAZZA BATTAGLIONE ALPINI FELTRE</t>
  </si>
  <si>
    <t>RISTORANTE AURORA SRLS</t>
  </si>
  <si>
    <t>FAMILA FELTRE PESCHIERA</t>
  </si>
  <si>
    <t>VIA PESCHIERA</t>
  </si>
  <si>
    <t>FAMILA FELTRE PASQUER</t>
  </si>
  <si>
    <t>VIA BELLUNO</t>
  </si>
  <si>
    <t>BAR CANTON DI FUGAZZA ELENA</t>
  </si>
  <si>
    <t>BAR CANTON</t>
  </si>
  <si>
    <t>LENTIAI</t>
  </si>
  <si>
    <t>TURRIN BARBARA</t>
  </si>
  <si>
    <t>"AL PIACERE"</t>
  </si>
  <si>
    <t>VIALE BELLUNO</t>
  </si>
  <si>
    <t>DE BONA LUIGI</t>
  </si>
  <si>
    <t>LONGARONE</t>
  </si>
  <si>
    <t>VIA ROGGIA</t>
  </si>
  <si>
    <t>AL CAVALLINO ROSSO DI FERRIGHE</t>
  </si>
  <si>
    <t>AL CAVALLO ROSSO PIZZERIA</t>
  </si>
  <si>
    <t>MEL</t>
  </si>
  <si>
    <t>VIA BARDIES</t>
  </si>
  <si>
    <t>LA BIRRERIA SRL</t>
  </si>
  <si>
    <t>LA BIRRERIA PEDAVENA</t>
  </si>
  <si>
    <t>PEDAVENA</t>
  </si>
  <si>
    <t>VIALE VITTORIO VENETO</t>
  </si>
  <si>
    <t>CAMST SCRL</t>
  </si>
  <si>
    <t>DOLOMITI BREAK</t>
  </si>
  <si>
    <t>PONTE NELLE ALPI</t>
  </si>
  <si>
    <t>VIALE CADORE</t>
  </si>
  <si>
    <t>FAMILA PONTE NELLE ALPI</t>
  </si>
  <si>
    <t>VIALE DOLOMITI</t>
  </si>
  <si>
    <t>RIST.AL GIARDINETTO SNC</t>
  </si>
  <si>
    <t>AL GIARDINETTO</t>
  </si>
  <si>
    <t>SANTA GIUSTINA</t>
  </si>
  <si>
    <t>STRADA DEL GIARDINETTO</t>
  </si>
  <si>
    <t>DOLOMIE' SRL</t>
  </si>
  <si>
    <t>DOLOMIE'</t>
  </si>
  <si>
    <t>SEDICO</t>
  </si>
  <si>
    <t>FIDELIS SRL</t>
  </si>
  <si>
    <t>FIDELIS</t>
  </si>
  <si>
    <t>LA RIANATA SAS</t>
  </si>
  <si>
    <t>LA RIANATA PIZZ.</t>
  </si>
  <si>
    <t>VIA AGORDINA</t>
  </si>
  <si>
    <t>MACELLERIE ROLDO SNC</t>
  </si>
  <si>
    <t>MACELLERIE ROLDO</t>
  </si>
  <si>
    <t>LAVANDA SNC DI LAVANDA S.&amp; C.</t>
  </si>
  <si>
    <t>CRAI</t>
  </si>
  <si>
    <t>TRICHIANA</t>
  </si>
  <si>
    <t>FAMILA TRICHIANA</t>
  </si>
  <si>
    <t>VIA CAVASSICO</t>
  </si>
  <si>
    <t>BEL SIT SRL</t>
  </si>
  <si>
    <t>BEL SIT RISTORANTE PIZZERIA</t>
  </si>
  <si>
    <t>VALLE DI CADORE</t>
  </si>
  <si>
    <t>VIA RUSECCO</t>
  </si>
  <si>
    <t>FAST FOOD/PANINOTECA</t>
  </si>
  <si>
    <t>32021</t>
  </si>
  <si>
    <t>32015</t>
  </si>
  <si>
    <t>32100</t>
  </si>
  <si>
    <t>10/12</t>
  </si>
  <si>
    <t>13/17</t>
  </si>
  <si>
    <t>170</t>
  </si>
  <si>
    <t>448</t>
  </si>
  <si>
    <t>17/B</t>
  </si>
  <si>
    <t>291</t>
  </si>
  <si>
    <t>271</t>
  </si>
  <si>
    <t>240</t>
  </si>
  <si>
    <t>32042</t>
  </si>
  <si>
    <t>32032</t>
  </si>
  <si>
    <t>47/C</t>
  </si>
  <si>
    <t>32020</t>
  </si>
  <si>
    <t>32013</t>
  </si>
  <si>
    <t>32026</t>
  </si>
  <si>
    <t>32034</t>
  </si>
  <si>
    <t>67/C</t>
  </si>
  <si>
    <t>32014</t>
  </si>
  <si>
    <t>32035</t>
  </si>
  <si>
    <t>155</t>
  </si>
  <si>
    <t>32036</t>
  </si>
  <si>
    <t>32028</t>
  </si>
  <si>
    <t>169/6</t>
  </si>
  <si>
    <t>32040</t>
  </si>
  <si>
    <t>Nr .</t>
  </si>
  <si>
    <t>ANGOLO SRL</t>
  </si>
  <si>
    <t>ALL'ANGOLO</t>
  </si>
  <si>
    <t>VI</t>
  </si>
  <si>
    <t>ALTAVILLA VICENTINA</t>
  </si>
  <si>
    <t>VIALE STAZIONE</t>
  </si>
  <si>
    <t>FEHU SRL</t>
  </si>
  <si>
    <t>TOURLE'</t>
  </si>
  <si>
    <t>VIA OLMO</t>
  </si>
  <si>
    <t>SUPERM. STELLA SRL</t>
  </si>
  <si>
    <t xml:space="preserve">WHBL SRL </t>
  </si>
  <si>
    <t>SELLA EDDA</t>
  </si>
  <si>
    <t>ALLE ROSE</t>
  </si>
  <si>
    <t>ARSIERO</t>
  </si>
  <si>
    <t>VIA MONTE MAGGIO</t>
  </si>
  <si>
    <t>BAR STADIO DI VOLPIANA SERGIO</t>
  </si>
  <si>
    <t>STADIO</t>
  </si>
  <si>
    <t>ARZIGNANO</t>
  </si>
  <si>
    <t>VIA MILLE</t>
  </si>
  <si>
    <t>BENETTI MARIA</t>
  </si>
  <si>
    <t>CASTAGNA</t>
  </si>
  <si>
    <t>VIA RIOTORTO</t>
  </si>
  <si>
    <t>BISTRO DA ALE</t>
  </si>
  <si>
    <t>VIA GRIFO</t>
  </si>
  <si>
    <t>CAFFE' NAZIONALE SAS</t>
  </si>
  <si>
    <t xml:space="preserve">CAFFE NAZIONALE </t>
  </si>
  <si>
    <t>PIAZZA LIBERTA'</t>
  </si>
  <si>
    <t>CAFFETTERIA DAL GRIFO SAS</t>
  </si>
  <si>
    <t>CAFFETTERIA DAL GRIFO</t>
  </si>
  <si>
    <t>CORATO ROSETTA</t>
  </si>
  <si>
    <t>A&amp;O</t>
  </si>
  <si>
    <t>VIA DON BASILIO DE ROSSO</t>
  </si>
  <si>
    <t>OSTERIA MODERNA</t>
  </si>
  <si>
    <t>LA TAVERNA DEI BALDI SNC</t>
  </si>
  <si>
    <t>LA TAVERNA DEI BALDI</t>
  </si>
  <si>
    <t>CORSO GIUSEPPE MAZZINI</t>
  </si>
  <si>
    <t>LIECIANI STEFANO</t>
  </si>
  <si>
    <t>AL MATAREO</t>
  </si>
  <si>
    <t>SVILUPPO &amp; DISTRIBUZIONE SRL</t>
  </si>
  <si>
    <t xml:space="preserve"> VIALE DELLE INDUSTRIE</t>
  </si>
  <si>
    <t>TONIN DI TONIN ANGELO &amp; C. SNC</t>
  </si>
  <si>
    <t>TONIN</t>
  </si>
  <si>
    <t>VIA SABBIONARA</t>
  </si>
  <si>
    <t>TRATTORIA AL CAVALLINO SAS</t>
  </si>
  <si>
    <t>TRATTORIA AL CAVALLINO BIANCO</t>
  </si>
  <si>
    <t>VIA PONTE</t>
  </si>
  <si>
    <t>TRATTORIA GIARDINO SNC</t>
  </si>
  <si>
    <t>GIARDINO</t>
  </si>
  <si>
    <t>VIA QUATTRO MARTIRI</t>
  </si>
  <si>
    <t>TROLESE MASSIMO</t>
  </si>
  <si>
    <t>DEL CORSO</t>
  </si>
  <si>
    <t>CORSO GIUSEPPE GARIBALDI</t>
  </si>
  <si>
    <t>FAMILA ARZIGNANO DIAZ</t>
  </si>
  <si>
    <t>VIA GENERALE ARMANDO DIAZ</t>
  </si>
  <si>
    <t>FAMILA ARZIGNANO</t>
  </si>
  <si>
    <t>VIA FRANCESCO BARACCA</t>
  </si>
  <si>
    <t>VOLPIANA NATALINA</t>
  </si>
  <si>
    <t>CORSO GIACOMO MATTEOTTI</t>
  </si>
  <si>
    <t>XOMPERO SILVIA</t>
  </si>
  <si>
    <t>LE CHICCHE</t>
  </si>
  <si>
    <t>ZINI MARCO</t>
  </si>
  <si>
    <t>ZINI 1915 SALUMI</t>
  </si>
  <si>
    <t>ASIAGO</t>
  </si>
  <si>
    <t>VIA RENDOLA</t>
  </si>
  <si>
    <t>SPORT</t>
  </si>
  <si>
    <t>VIA BRIGATA LIGURIA</t>
  </si>
  <si>
    <t>FRACARO SNC</t>
  </si>
  <si>
    <t>PENNAR</t>
  </si>
  <si>
    <t>VIA PENNAR</t>
  </si>
  <si>
    <t>RIGONI LORIS</t>
  </si>
  <si>
    <t>PIZZERIA CIRCOLO ALPINO</t>
  </si>
  <si>
    <t>CORSO IV NOVEMBRE</t>
  </si>
  <si>
    <t>MENSA OSPEDALE ASIAGO</t>
  </si>
  <si>
    <t>VIALE MARTIRI DI GRANEZZA</t>
  </si>
  <si>
    <t>VENTO SNC</t>
  </si>
  <si>
    <t>TITA MASO PIZZERIA</t>
  </si>
  <si>
    <t>VIA CINQUE</t>
  </si>
  <si>
    <t>GIOVEDI    VENERDI  MATTINO</t>
  </si>
  <si>
    <t>AGLAJA SRL</t>
  </si>
  <si>
    <t>OSPEDALE DI BASSANO</t>
  </si>
  <si>
    <t>BASSANO DEL GRAPPA</t>
  </si>
  <si>
    <t>VIA DEI LOTTI</t>
  </si>
  <si>
    <t>AL MULINO DI APICELLA VINCENZO</t>
  </si>
  <si>
    <t>AL MULINO</t>
  </si>
  <si>
    <t>QUARTIERE PRE'</t>
  </si>
  <si>
    <t>MARTEDI      TUTTO IL GIORNO</t>
  </si>
  <si>
    <t>AL PORTON SRL</t>
  </si>
  <si>
    <t>AL PORTON PANINOTECA</t>
  </si>
  <si>
    <t>VIA GAMBA</t>
  </si>
  <si>
    <t>VIA CAPITELVECCHIO</t>
  </si>
  <si>
    <t>ASTUNI ENRICO</t>
  </si>
  <si>
    <t>BELLA NAPOLI PIZZERIA</t>
  </si>
  <si>
    <t>VIA SAN GIORGIO</t>
  </si>
  <si>
    <t>LUNEDI  POMERIGGIO  MARTEDI  POMERIGGIO</t>
  </si>
  <si>
    <t>ASTUNI MICHELE GUIDO</t>
  </si>
  <si>
    <t>DA GUIDO</t>
  </si>
  <si>
    <t>VIALE VICENZA</t>
  </si>
  <si>
    <t>VIA ALCIDE DE GASPERI</t>
  </si>
  <si>
    <t>BOMBIERI GIULIA CHIARA</t>
  </si>
  <si>
    <t>BE BAR</t>
  </si>
  <si>
    <t>VIA CA' DOLFIN</t>
  </si>
  <si>
    <t>CAFFETTERIASORIOGIORGIO &amp;C.SAS</t>
  </si>
  <si>
    <t>LA CAFFETTERIA SORIO</t>
  </si>
  <si>
    <t>CARPE DIEM SRL</t>
  </si>
  <si>
    <t>VIALE ASIAGO</t>
  </si>
  <si>
    <t>DR &amp; DR SRL</t>
  </si>
  <si>
    <t>BELLA CAPRI PIZZ.</t>
  </si>
  <si>
    <t>VIA JACOPO DA PONTE</t>
  </si>
  <si>
    <t>FRIGO LETIZIA</t>
  </si>
  <si>
    <t>LO SFIZIO</t>
  </si>
  <si>
    <t>LARGO PAROLINI</t>
  </si>
  <si>
    <t>GI. &amp; GO. SRL</t>
  </si>
  <si>
    <t>GIENNE DI ALESSIO NADIA SNC</t>
  </si>
  <si>
    <t>AL BACARO</t>
  </si>
  <si>
    <t>LA TORRE RISTORAZIONE</t>
  </si>
  <si>
    <t>TORRE RISTORAZ.</t>
  </si>
  <si>
    <t>PIAZZALE LUIGI CADORNA</t>
  </si>
  <si>
    <t>L'ALBERO - L'ITALIA A TAVOLA</t>
  </si>
  <si>
    <t>MODENESE GIANMARCO</t>
  </si>
  <si>
    <t>MARACUJA'</t>
  </si>
  <si>
    <t>VIA DEL MERCATO</t>
  </si>
  <si>
    <t>PROFETA ROSA</t>
  </si>
  <si>
    <t>ALLA GROTTA</t>
  </si>
  <si>
    <t>VICOLO JACOPO DA PONTE</t>
  </si>
  <si>
    <t>SERA SRL</t>
  </si>
  <si>
    <t>CAFFE DEL CENTRO</t>
  </si>
  <si>
    <t>VIALE PECORI GIRALDI</t>
  </si>
  <si>
    <t>TERRAZZA SAS</t>
  </si>
  <si>
    <t>TERRAZZA PIZZ.</t>
  </si>
  <si>
    <t>VIA PASSALACQUA</t>
  </si>
  <si>
    <t>EMISFERO BASSANO</t>
  </si>
  <si>
    <t>FAMILA BASSANO</t>
  </si>
  <si>
    <t>YANE SRL</t>
  </si>
  <si>
    <t>OSTERIA BDG</t>
  </si>
  <si>
    <t>MERCOLEDI      TUTTO IL GIORNO</t>
  </si>
  <si>
    <t>ZU E SA SRL</t>
  </si>
  <si>
    <t>VINCAFFE</t>
  </si>
  <si>
    <t>ALMI SNC</t>
  </si>
  <si>
    <t>PAUSA</t>
  </si>
  <si>
    <t>BOLZANO VICENTINO</t>
  </si>
  <si>
    <t>VIA BARTOLOMEO BIZIO</t>
  </si>
  <si>
    <t>PR SAS</t>
  </si>
  <si>
    <t>L'AUTOSTOP</t>
  </si>
  <si>
    <t>VIA GORIZIA</t>
  </si>
  <si>
    <t>DALLEMULLE GIOVANNI</t>
  </si>
  <si>
    <t>AL CAPPELLO</t>
  </si>
  <si>
    <t>BREGANZE</t>
  </si>
  <si>
    <t>RISTORANTE DA ELVIO SNC</t>
  </si>
  <si>
    <t>DA ELVIO</t>
  </si>
  <si>
    <t>VIA MIRABELLA</t>
  </si>
  <si>
    <t>ROSABIANCA DI AZZOLIN SRL</t>
  </si>
  <si>
    <t>ROSABIANCA</t>
  </si>
  <si>
    <t>ROSTICCERIA VALERIO FLAVIA SNC</t>
  </si>
  <si>
    <t>ROSTICCERIA VALERIO FLAVIA</t>
  </si>
  <si>
    <t>VIA GIACOMO ZANELLA</t>
  </si>
  <si>
    <t>AMADEUS SNC</t>
  </si>
  <si>
    <t>AMADEUS</t>
  </si>
  <si>
    <t>BRENDOLA</t>
  </si>
  <si>
    <t>VIA ANTONIO PACINOTTI</t>
  </si>
  <si>
    <t>DIONISO SAS</t>
  </si>
  <si>
    <t>FUORI CASA</t>
  </si>
  <si>
    <t>VIA ORNA</t>
  </si>
  <si>
    <t>NO.VA. SAS</t>
  </si>
  <si>
    <t>PICCOLO BAR</t>
  </si>
  <si>
    <t>VIA BENEDETTO CROCE</t>
  </si>
  <si>
    <t>CALDOGNO</t>
  </si>
  <si>
    <t>VIA MILANO</t>
  </si>
  <si>
    <t>SMANIA GIAMPIERO</t>
  </si>
  <si>
    <t>JOIA CAFFE</t>
  </si>
  <si>
    <t>VIA TORINO</t>
  </si>
  <si>
    <t>CAMISANO VICENTINO</t>
  </si>
  <si>
    <t>CUOMO MARIO &amp; C. SNC</t>
  </si>
  <si>
    <t>ADA PIZZERIA</t>
  </si>
  <si>
    <t>VIA TORROSSA</t>
  </si>
  <si>
    <t>GIOMARKET FLORA SRL</t>
  </si>
  <si>
    <t>GIOMARKET FLORA</t>
  </si>
  <si>
    <t>VIA DELL'ARTIGIANATO</t>
  </si>
  <si>
    <t>LUNEDI  POMERIGGIO  MERCOLEDI  POMERIGGIO</t>
  </si>
  <si>
    <t>PAVAN ANTONELLA</t>
  </si>
  <si>
    <t>A GONFIE VELE</t>
  </si>
  <si>
    <t>CONTARINI SAS</t>
  </si>
  <si>
    <t>RISTORANTE CONTARINI</t>
  </si>
  <si>
    <t>CAMPOLONGO SUL BRENTA</t>
  </si>
  <si>
    <t>VIA CONTARINI</t>
  </si>
  <si>
    <t>VENERDI  TUTTO IL GIORNO</t>
  </si>
  <si>
    <t>EL RANCHO SNC</t>
  </si>
  <si>
    <t>EL RANCHO</t>
  </si>
  <si>
    <t>CASSOLA</t>
  </si>
  <si>
    <t>VIALE SAN GIUSEPPE</t>
  </si>
  <si>
    <t>PIZZERIA PRIMAVERA SRL</t>
  </si>
  <si>
    <t>PRIMAVERA PIZZERIA</t>
  </si>
  <si>
    <t>SABRI E MAX SNC</t>
  </si>
  <si>
    <t>SABRY &amp; MAX'S</t>
  </si>
  <si>
    <t>VIA RAFFAELLO SANZIO</t>
  </si>
  <si>
    <t>TRAT.CAPITELLO DELLA COCCA SNC</t>
  </si>
  <si>
    <t>CAPITELLO DELLA COCCA</t>
  </si>
  <si>
    <t>CASTELGOMBERTO</t>
  </si>
  <si>
    <t>VIA CAPITELLO DELLA COCCA</t>
  </si>
  <si>
    <t>CHIAMPO</t>
  </si>
  <si>
    <t>VIA ARSO</t>
  </si>
  <si>
    <t>LA CONCHIGLIA S.R.L.</t>
  </si>
  <si>
    <t>LA PIEVE</t>
  </si>
  <si>
    <t>VIA PIEVE</t>
  </si>
  <si>
    <t>VIA PADRE TOMASO DAL MOLIN</t>
  </si>
  <si>
    <t>MENEGHINI FOODSERVICE SRL</t>
  </si>
  <si>
    <t>BOTTEGA DEL CAFFE' DERSUT</t>
  </si>
  <si>
    <t>PIAZZA GIACOMO ZANELLA</t>
  </si>
  <si>
    <t>TRATTORIA AL PONTE SNC</t>
  </si>
  <si>
    <t>VIA BRUNO DAL MASO</t>
  </si>
  <si>
    <t>FAMILA CHIAMPO</t>
  </si>
  <si>
    <t>PIAZZALE MONDELANGE</t>
  </si>
  <si>
    <t>DALLE MULE ADRIANA</t>
  </si>
  <si>
    <t>VALSUGANA</t>
  </si>
  <si>
    <t>CISMON DEL GRAPPA</t>
  </si>
  <si>
    <t>AL CICLAMINO SNC</t>
  </si>
  <si>
    <t>AL CICLAMINO</t>
  </si>
  <si>
    <t>CONCO</t>
  </si>
  <si>
    <t>VIA GIO BATTA POLI</t>
  </si>
  <si>
    <t>PANARETTO SNC</t>
  </si>
  <si>
    <t>PANARETTO</t>
  </si>
  <si>
    <t>CORNEDO VICENTINO</t>
  </si>
  <si>
    <t>VIA MONTE ORTIGARA</t>
  </si>
  <si>
    <t>LA LANTERNA SRL</t>
  </si>
  <si>
    <t>LA LANTERNA PIZZERIA</t>
  </si>
  <si>
    <t>COSTABISSARA</t>
  </si>
  <si>
    <t>STRADA STATALE PASUBIO</t>
  </si>
  <si>
    <t>VIA CARLO CATTANEO</t>
  </si>
  <si>
    <t>FARDO'S BAR SNC</t>
  </si>
  <si>
    <t>LA CASCINA PIZZERIA</t>
  </si>
  <si>
    <t>CREAZZO</t>
  </si>
  <si>
    <t>LARGO TIEPOLO</t>
  </si>
  <si>
    <t>FAMILA CREAZZO</t>
  </si>
  <si>
    <t>C&amp;G SRL</t>
  </si>
  <si>
    <t>STRA</t>
  </si>
  <si>
    <t>DUEVILLE</t>
  </si>
  <si>
    <t>VIA MAROSTICANA</t>
  </si>
  <si>
    <t>DA CARLI DI CARLI LORENZO &amp; C.</t>
  </si>
  <si>
    <t>DA CARLI</t>
  </si>
  <si>
    <t>VIA ASTICHELLI</t>
  </si>
  <si>
    <t>VIALE DEI MARTIRI</t>
  </si>
  <si>
    <t>BONATO MAURIZIO</t>
  </si>
  <si>
    <t>AL CACCIATORE</t>
  </si>
  <si>
    <t>FARA VICENTINO</t>
  </si>
  <si>
    <t>VIA MICHELONI</t>
  </si>
  <si>
    <t>MERCOLEDI  POMERIGGIO  GIOVEDI</t>
  </si>
  <si>
    <t>ACAMPORA MICHELE</t>
  </si>
  <si>
    <t>DUE LANTERNE</t>
  </si>
  <si>
    <t>ISOLA VICENTINA</t>
  </si>
  <si>
    <t>VIA GIARRE</t>
  </si>
  <si>
    <t>AKRONOS SRL</t>
  </si>
  <si>
    <t>NONSOSEMISPIEDO</t>
  </si>
  <si>
    <t>LONGARE</t>
  </si>
  <si>
    <t>VIA PONTE DI COSTOZZA</t>
  </si>
  <si>
    <t>CARIOLATO GIOVANNI</t>
  </si>
  <si>
    <t>AL PERGOLINO</t>
  </si>
  <si>
    <t>VIA SECULA</t>
  </si>
  <si>
    <t>LUNEDI  TUTTO IL GIORNO  MARTEDI  TUTTO IL GIORNO</t>
  </si>
  <si>
    <t>ENERGIA SRL</t>
  </si>
  <si>
    <t>GIORNALI &amp; CAFFE'</t>
  </si>
  <si>
    <t>VIA PONTE DI LUMIGNANO</t>
  </si>
  <si>
    <t>FACCHIN DIEGO</t>
  </si>
  <si>
    <t>QUATTRO STAGIONI</t>
  </si>
  <si>
    <t>LA CORTE DEI CILIEGI SRL</t>
  </si>
  <si>
    <t>LA CORTE DEI CILIEGI</t>
  </si>
  <si>
    <t>VIA ALFONSO LAMARMORA</t>
  </si>
  <si>
    <t>ALL STARS SRL</t>
  </si>
  <si>
    <t>IPER LONIGO</t>
  </si>
  <si>
    <t>LONIGO</t>
  </si>
  <si>
    <t>VIA PREON</t>
  </si>
  <si>
    <t>GAZZETTO SRL</t>
  </si>
  <si>
    <t>ELISEA PIZZERIA</t>
  </si>
  <si>
    <t>VIA SANTA MARINA</t>
  </si>
  <si>
    <t>B.D.L. SNC</t>
  </si>
  <si>
    <t>DA UMBERTO PIZZERIA</t>
  </si>
  <si>
    <t>MALO</t>
  </si>
  <si>
    <t>TRATTORIA AL MOLINO SNC</t>
  </si>
  <si>
    <t>AL MOLINO</t>
  </si>
  <si>
    <t>VIA BARTOLOMEO COLLEONI</t>
  </si>
  <si>
    <t>GROTTO DAVIDE</t>
  </si>
  <si>
    <t>PEDROCCHI</t>
  </si>
  <si>
    <t>MARANO VICENTINO</t>
  </si>
  <si>
    <t>PIAZZA SILVA</t>
  </si>
  <si>
    <t>KHODZINSKA LYUDMYLA</t>
  </si>
  <si>
    <t>FUORIPORTA</t>
  </si>
  <si>
    <t>VIA VILLARASPA</t>
  </si>
  <si>
    <t>ALL'ANGELO D'ORO SNC</t>
  </si>
  <si>
    <t>ALL'ANGELO D'ORO</t>
  </si>
  <si>
    <t>MAROSTICA</t>
  </si>
  <si>
    <t>COOPERATIVA CONSUMATORI SCARL</t>
  </si>
  <si>
    <t>COOPERATIVA CONSUMATORI</t>
  </si>
  <si>
    <t>VIA MONTELLO</t>
  </si>
  <si>
    <t>HOTEL RIST ALLA VENEZIANA SRL</t>
  </si>
  <si>
    <t>TRATTORIA CAISSA</t>
  </si>
  <si>
    <t xml:space="preserve">VICENTINI SRL </t>
  </si>
  <si>
    <t xml:space="preserve">VICENTINI </t>
  </si>
  <si>
    <t>ANGELINA SRL UNIPERSONALE</t>
  </si>
  <si>
    <t>THE TOWERS</t>
  </si>
  <si>
    <t>MONTEBELLO VICENTINO</t>
  </si>
  <si>
    <t>VIA PESA</t>
  </si>
  <si>
    <t>MONTECCHIO MAGGIORE</t>
  </si>
  <si>
    <t>GN SAS</t>
  </si>
  <si>
    <t>DA GOLIN</t>
  </si>
  <si>
    <t>MARCHETTO EMILIO SNC</t>
  </si>
  <si>
    <t>S.MARCO</t>
  </si>
  <si>
    <t>VIA BATTAGLIA</t>
  </si>
  <si>
    <t>DI DOMENICO MARCO</t>
  </si>
  <si>
    <t>MONTORSO VICENTINO</t>
  </si>
  <si>
    <t>SANCOLODI SNC</t>
  </si>
  <si>
    <t>SANCOLODI PIZZERIA</t>
  </si>
  <si>
    <t>MUSSOLENTE</t>
  </si>
  <si>
    <t>VIA DANTE ALIGHIERI</t>
  </si>
  <si>
    <t>LA SPINOSA</t>
  </si>
  <si>
    <t>NOVENTA VICENTINA</t>
  </si>
  <si>
    <t>VIA SPINOSA</t>
  </si>
  <si>
    <t>PRIMON MARIA</t>
  </si>
  <si>
    <t>SALINE</t>
  </si>
  <si>
    <t>VIA SALINE</t>
  </si>
  <si>
    <t>TTB NOVENTA</t>
  </si>
  <si>
    <t>VIA CARLO PORTA</t>
  </si>
  <si>
    <t>BERNARDI CARLA</t>
  </si>
  <si>
    <t>ORGIANO CAFE'</t>
  </si>
  <si>
    <t>ORGIANO</t>
  </si>
  <si>
    <t>VIA LIBERTA'</t>
  </si>
  <si>
    <t>TTB ORGIANO</t>
  </si>
  <si>
    <t>VIA XXV APRILE</t>
  </si>
  <si>
    <t>BISSON SAS</t>
  </si>
  <si>
    <t>SUPERMERCATO CRAI</t>
  </si>
  <si>
    <t>POJANA MAGGIORE</t>
  </si>
  <si>
    <t>VIA BORGO BRUSA'</t>
  </si>
  <si>
    <t>DAI GELOSI SNC</t>
  </si>
  <si>
    <t>DAI GELOSI</t>
  </si>
  <si>
    <t>QUINTO VICENTINO</t>
  </si>
  <si>
    <t>VIA PIAVE</t>
  </si>
  <si>
    <t>ROSSATO MICHELE</t>
  </si>
  <si>
    <t>BENETTI MICHELE</t>
  </si>
  <si>
    <t>DA GIGI</t>
  </si>
  <si>
    <t>RECOARO TERME</t>
  </si>
  <si>
    <t>CONTRADA FONTE ABELINA</t>
  </si>
  <si>
    <t>ZOTTI DANIELE</t>
  </si>
  <si>
    <t>BAITA AZZURRA</t>
  </si>
  <si>
    <t>ROANA</t>
  </si>
  <si>
    <t>VIA CAMPIELLO</t>
  </si>
  <si>
    <t>BATTOCCHIO SPA</t>
  </si>
  <si>
    <t>IPERBATTOCCHIO</t>
  </si>
  <si>
    <t>ROMANO D'EZZELINO</t>
  </si>
  <si>
    <t>VIALE ALESSANDRO MANZONI</t>
  </si>
  <si>
    <t>BONTA' ALIMENTARI SRL</t>
  </si>
  <si>
    <t>BONTA' ALIMENTARI</t>
  </si>
  <si>
    <t>ROSA'</t>
  </si>
  <si>
    <t>NALETTO MONICA</t>
  </si>
  <si>
    <t>DA RINO E SANDRA</t>
  </si>
  <si>
    <t>VIA BAGGI</t>
  </si>
  <si>
    <t>VIA MARSALA</t>
  </si>
  <si>
    <t>L'APPRODO SNC</t>
  </si>
  <si>
    <t>L'APPRODO PIZZERIA</t>
  </si>
  <si>
    <t>SANDRIGO</t>
  </si>
  <si>
    <t>VIALE IPPODROMO</t>
  </si>
  <si>
    <t>OSTERIA SCALDAFERRO SRL</t>
  </si>
  <si>
    <t>OSTERIA SCALDAFERRO</t>
  </si>
  <si>
    <t>VIA SCALDAFERRO</t>
  </si>
  <si>
    <t>VIALE MONTE GRAPPA</t>
  </si>
  <si>
    <t>SUPER A&amp;O SANDRIGO</t>
  </si>
  <si>
    <t>VIA MONSIGNORE GIUSEPPE ARENA</t>
  </si>
  <si>
    <t>VIDA SAS</t>
  </si>
  <si>
    <t>LOCANDA CENTRALE</t>
  </si>
  <si>
    <t>PIAZZA VITTORIO EMANUELE</t>
  </si>
  <si>
    <t>CARRETTA ORNELLA</t>
  </si>
  <si>
    <t>BAR ALLA ROTONDA</t>
  </si>
  <si>
    <t>SANTORSO</t>
  </si>
  <si>
    <t>VIA GARZIERE</t>
  </si>
  <si>
    <t>BARCON SRL</t>
  </si>
  <si>
    <t>AL BARCON PIZZERIA</t>
  </si>
  <si>
    <t>SARCEDO</t>
  </si>
  <si>
    <t>VIA SANTA MARIA</t>
  </si>
  <si>
    <t>JOVANOV SVETLANA</t>
  </si>
  <si>
    <t>MARINA</t>
  </si>
  <si>
    <t>SAREGO</t>
  </si>
  <si>
    <t>VIA ANDREA PALLADIO</t>
  </si>
  <si>
    <t>SCHIO</t>
  </si>
  <si>
    <t>VIA LAGO DI TRASIMENO</t>
  </si>
  <si>
    <t>CAFFE' CARRARO SPA</t>
  </si>
  <si>
    <t>CASA DEL CAFFE' CARRARO</t>
  </si>
  <si>
    <t>VIA SAN GIOVANNI BOSCO</t>
  </si>
  <si>
    <t>WIENER HAUS</t>
  </si>
  <si>
    <t>VIA LUIGI DALLA VIA</t>
  </si>
  <si>
    <t>FRONCOLATI LUIGI SAS</t>
  </si>
  <si>
    <t>GIMMI BAR PIZZERIA</t>
  </si>
  <si>
    <t>VIA VENETO</t>
  </si>
  <si>
    <t>GIMMY RISTORAZIONE</t>
  </si>
  <si>
    <t>VIA PILASTRO</t>
  </si>
  <si>
    <t>GESTALT SRLS</t>
  </si>
  <si>
    <t>ITALIANA CAFFE'</t>
  </si>
  <si>
    <t>GESTIONE HOTEL NORIS</t>
  </si>
  <si>
    <t>HOTEL NORIS</t>
  </si>
  <si>
    <t>PONTE D'ORO</t>
  </si>
  <si>
    <t>VIA PONTE D'ORO</t>
  </si>
  <si>
    <t>GIRARDI STEFANIA</t>
  </si>
  <si>
    <t>AL TAGLIERE PIZZERIA</t>
  </si>
  <si>
    <t>VIA CRISTOFORO</t>
  </si>
  <si>
    <t>MADIS SRL</t>
  </si>
  <si>
    <t>VIA CAILE</t>
  </si>
  <si>
    <t>OASI</t>
  </si>
  <si>
    <t>VIA LAGO DI ALBANO</t>
  </si>
  <si>
    <t>STONE SNC</t>
  </si>
  <si>
    <t>LIVING CAFFE'</t>
  </si>
  <si>
    <t>VIA LAGO MAGGIORE</t>
  </si>
  <si>
    <t>FAMILA SCHIO SS.TRINITA'</t>
  </si>
  <si>
    <t>VIA SANTISSIMA TRINITA'</t>
  </si>
  <si>
    <t>FAMILA SCHIO XX</t>
  </si>
  <si>
    <t>TTB SOSSANO</t>
  </si>
  <si>
    <t>SOSSANO</t>
  </si>
  <si>
    <t>VIA CIRCONVALLAZIONE</t>
  </si>
  <si>
    <t>BUONOCORE CAROLINA</t>
  </si>
  <si>
    <t>DA NICOLA PIZZERIA</t>
  </si>
  <si>
    <t>TEZZE SUL BRENTA</t>
  </si>
  <si>
    <t>CONTRA' SACRO CUORE</t>
  </si>
  <si>
    <t>SELF SERVICE MARKET</t>
  </si>
  <si>
    <t>VIA CA' BASEGGIO</t>
  </si>
  <si>
    <t>BAR STAZIONE SNC</t>
  </si>
  <si>
    <t>STAZIONE</t>
  </si>
  <si>
    <t>THIENE</t>
  </si>
  <si>
    <t>BERLATO ERIKA</t>
  </si>
  <si>
    <t>LA MIA PIADINA</t>
  </si>
  <si>
    <t>VIA DEL TERZIARIO</t>
  </si>
  <si>
    <t>VIA DELLE ARTI</t>
  </si>
  <si>
    <t>BLUE VELVET SAS</t>
  </si>
  <si>
    <t>OFFICINE FALSTAFF</t>
  </si>
  <si>
    <t>VIA SAN GAETANO</t>
  </si>
  <si>
    <t>CA' BEREGANE SNC DI TONIOLO MA</t>
  </si>
  <si>
    <t>RIST. PIZZERIA CA' BEREGANE</t>
  </si>
  <si>
    <t>VIA LAMPERTICO</t>
  </si>
  <si>
    <t>DOMENICO BONOLLO</t>
  </si>
  <si>
    <t>AL CORSO</t>
  </si>
  <si>
    <t>FABRIS ALESSANDRA</t>
  </si>
  <si>
    <t>AEREOPORTO</t>
  </si>
  <si>
    <t>VIA PRA' NOVELLI</t>
  </si>
  <si>
    <t>GROVAL SRL</t>
  </si>
  <si>
    <t>AI CAPPUCCINI PIZZERIA</t>
  </si>
  <si>
    <t>VIA DEI MORARI</t>
  </si>
  <si>
    <t>VIA GIOTTO</t>
  </si>
  <si>
    <t>MAX E GABRY SAS</t>
  </si>
  <si>
    <t>QL CAFE'</t>
  </si>
  <si>
    <t>VIA FRANCESCO FOSCARI</t>
  </si>
  <si>
    <t>S.M.E. SNC</t>
  </si>
  <si>
    <t>AL BOSCO</t>
  </si>
  <si>
    <t>VIALE BASSANI</t>
  </si>
  <si>
    <t>S.S.C.SOC.SVIL.COMM. SRL</t>
  </si>
  <si>
    <t>CARREFOUR</t>
  </si>
  <si>
    <t>VIA DEI QUARTIERI</t>
  </si>
  <si>
    <t>THE LEGEND SRL</t>
  </si>
  <si>
    <t>THE LEGEND BIRRERIA</t>
  </si>
  <si>
    <t>VERA SRL</t>
  </si>
  <si>
    <t>ZARANTONELLO MIRJAM</t>
  </si>
  <si>
    <t>LA LUNA E I FALO'</t>
  </si>
  <si>
    <t>VIA DAMIANO CHIESA</t>
  </si>
  <si>
    <t>TRENTINO SAS</t>
  </si>
  <si>
    <t>TRENTINO</t>
  </si>
  <si>
    <t>TONEZZA DEL CIMONE</t>
  </si>
  <si>
    <t>CONTRA' FONTANA</t>
  </si>
  <si>
    <t>N.P. SNC</t>
  </si>
  <si>
    <t>OTTO &amp; GIO'</t>
  </si>
  <si>
    <t>TORREBELVICINO</t>
  </si>
  <si>
    <t>VIA RILLARO</t>
  </si>
  <si>
    <t>SUPER A&amp;O TORREBELVICINO</t>
  </si>
  <si>
    <t>VIA SCHIO</t>
  </si>
  <si>
    <t>TORRI DI QUARTESOLO</t>
  </si>
  <si>
    <t>VIA P.BORSELLINO</t>
  </si>
  <si>
    <t>VIA POLA</t>
  </si>
  <si>
    <t>POLLICINO SRL</t>
  </si>
  <si>
    <t>LA LOCANDA DEL SANTO BEVITORE</t>
  </si>
  <si>
    <t>VIA BRESCIA</t>
  </si>
  <si>
    <t>VALDAGNO</t>
  </si>
  <si>
    <t>RISTORANTE PIZ.DA GIANNI SAS</t>
  </si>
  <si>
    <t>RISTORANTE PIZZERIA DA GIANNI</t>
  </si>
  <si>
    <t>VIA GASDOTTO</t>
  </si>
  <si>
    <t>SMA SPA</t>
  </si>
  <si>
    <t>SIMPLY</t>
  </si>
  <si>
    <t>VIA PARCO DELLA FAVORITA</t>
  </si>
  <si>
    <t>VIA SETTE MARTIRI</t>
  </si>
  <si>
    <t>FAMILA VALDAGNO</t>
  </si>
  <si>
    <t>VIA FOSSE ARDEATINE</t>
  </si>
  <si>
    <t>DAL BIANCO CINZIA</t>
  </si>
  <si>
    <t>MONTANINA</t>
  </si>
  <si>
    <t>VELO D'ASTICO</t>
  </si>
  <si>
    <t>VIA CAMPIGOLI</t>
  </si>
  <si>
    <t>VICENZA</t>
  </si>
  <si>
    <t>VIA GIOACHINO ROSSINI</t>
  </si>
  <si>
    <t>VIALE ROMA</t>
  </si>
  <si>
    <t>VIALE DEL MERCATO NUOVO</t>
  </si>
  <si>
    <t>VIA ETTORE GALLO</t>
  </si>
  <si>
    <t>BAR CENTRALE SNC</t>
  </si>
  <si>
    <t>AI DOGI BISTROT</t>
  </si>
  <si>
    <t>VIALE QUINTINO SELLA</t>
  </si>
  <si>
    <t>BAR INPS DI LEONI ROBERTA</t>
  </si>
  <si>
    <t>BAR INPS</t>
  </si>
  <si>
    <t>CORSO SANTI FELICE E FORTUNATO</t>
  </si>
  <si>
    <t>BAR ITALIA SNC</t>
  </si>
  <si>
    <t>BAR ITALIA</t>
  </si>
  <si>
    <t>GALLERIA DEL POZZO ROSSO</t>
  </si>
  <si>
    <t>BENETTI MARIA SILVIA</t>
  </si>
  <si>
    <t>PONTE DELLE BELE</t>
  </si>
  <si>
    <t>CONTRADA PONTE DELLE BELE</t>
  </si>
  <si>
    <t>BENVEGNU' WALTER</t>
  </si>
  <si>
    <t>OSTERIA VICOLO SANTA BARBARA</t>
  </si>
  <si>
    <t>STRADELLA SANTA BARBARA</t>
  </si>
  <si>
    <t>VIA GIOVAN BATTISTA QUADRI</t>
  </si>
  <si>
    <t>BRUSAROSCO MARCO</t>
  </si>
  <si>
    <t>RISTOBAR 1' BINARIO</t>
  </si>
  <si>
    <t>PIAZZA DELLA STAZIONE</t>
  </si>
  <si>
    <t>GUSTAVO CENTROPALLADIO - BSDC</t>
  </si>
  <si>
    <t>STRADA STATALE PER PADOVA</t>
  </si>
  <si>
    <t>LUNEDI  MATTINO  DOMENICA  TUTTO IL GIORNO</t>
  </si>
  <si>
    <t>TAVOLAMICA VICENZA</t>
  </si>
  <si>
    <t>VIALE SANT'AGOSTINO</t>
  </si>
  <si>
    <t>C'ERA UNA VOLTA SAS</t>
  </si>
  <si>
    <t>C'ERA UNA VOLTA</t>
  </si>
  <si>
    <t>VIALE GIUSEPPE VERDI</t>
  </si>
  <si>
    <t>SHI S</t>
  </si>
  <si>
    <t>VIALE GIUSEPPE MAZZINI</t>
  </si>
  <si>
    <t>VIP</t>
  </si>
  <si>
    <t>VIA GIULIO BEDESCHI</t>
  </si>
  <si>
    <t>CORSI GRAZIANO</t>
  </si>
  <si>
    <t>CAFFE' ABBONDANZA</t>
  </si>
  <si>
    <t>CONTRADA JACOPO CABIANCA</t>
  </si>
  <si>
    <t>DAL PONTE CAV.GIUSEPPE SRL</t>
  </si>
  <si>
    <t>DAL PONTE</t>
  </si>
  <si>
    <t>CONTRADA SAN SILVESTRO</t>
  </si>
  <si>
    <t xml:space="preserve">DALLA PADELLA ALLA BRACE SRL </t>
  </si>
  <si>
    <t>DALLA PADELLA ALLA BRACE</t>
  </si>
  <si>
    <t>VIA GIUSEPPE VACCARI</t>
  </si>
  <si>
    <t>DANIEL RAIMONDO</t>
  </si>
  <si>
    <t>BAR MONTECARLO</t>
  </si>
  <si>
    <t>VIALE VERONA</t>
  </si>
  <si>
    <t>DELVY MONTE BERICO SRL</t>
  </si>
  <si>
    <t>AI SETTE SANTI</t>
  </si>
  <si>
    <t>PIAZZALE DELLA VITTORIA</t>
  </si>
  <si>
    <t>EVARCHI MARCO</t>
  </si>
  <si>
    <t>MABANA CAFE'</t>
  </si>
  <si>
    <t>FERRARESSO MAURO</t>
  </si>
  <si>
    <t>HARRY'S BAR</t>
  </si>
  <si>
    <t>CONTRA' SANTISSIMI APOSTOLI</t>
  </si>
  <si>
    <t>GEPA SRL</t>
  </si>
  <si>
    <t>VILLA DELLE ROSE</t>
  </si>
  <si>
    <t>STRADA STATALE 11 PADANA VERSO VERONA</t>
  </si>
  <si>
    <t>GUARISE ANTONIO</t>
  </si>
  <si>
    <t>XCHENO' CAFE'</t>
  </si>
  <si>
    <t>HOTEL ADELE SRL</t>
  </si>
  <si>
    <t>NON SOLO BAR</t>
  </si>
  <si>
    <t>VIA GIACOMO MEDICI</t>
  </si>
  <si>
    <t>IL CEPPO SRL</t>
  </si>
  <si>
    <t>IL CEPPO</t>
  </si>
  <si>
    <t>CORSO ANDREA PALLADIO</t>
  </si>
  <si>
    <t>JAPAN TASTE SRL</t>
  </si>
  <si>
    <t>ZUSHI JAPANESE RESTAURANT</t>
  </si>
  <si>
    <t>PIAZZALE TORQUATO FRACCON</t>
  </si>
  <si>
    <t>CONTRADA PESCHERIE VECCHIE</t>
  </si>
  <si>
    <t>LA CICARA SRL</t>
  </si>
  <si>
    <t>LA CICARA</t>
  </si>
  <si>
    <t>LAC SRL</t>
  </si>
  <si>
    <t>GRAN CAFFE'</t>
  </si>
  <si>
    <t>MILANO ANGELO</t>
  </si>
  <si>
    <t>O SOLE MIO</t>
  </si>
  <si>
    <t>VIA SAN MARTINO</t>
  </si>
  <si>
    <t>MILANO NICOLA</t>
  </si>
  <si>
    <t>BELVEDERE</t>
  </si>
  <si>
    <t>STRADA DI CASALE</t>
  </si>
  <si>
    <t>PASTIFICIO RANA SPA</t>
  </si>
  <si>
    <t>DA GIOVANNI</t>
  </si>
  <si>
    <t>STRADA STATALE 11 PADANA VERSO PADOVA</t>
  </si>
  <si>
    <t>PICCHIO D'ORO</t>
  </si>
  <si>
    <t>VIALE GIAN GIORGIO TRISSINO</t>
  </si>
  <si>
    <t>PIZZERIA DA NEREO SNC</t>
  </si>
  <si>
    <t>DA NEREO</t>
  </si>
  <si>
    <t>STRADA STATALE 53 PER POSTUMIA</t>
  </si>
  <si>
    <t>PIZZERIA DEL FOGHER SNC</t>
  </si>
  <si>
    <t>PIZZERIA DEL FOGHER</t>
  </si>
  <si>
    <t>VIALE CAMISANO</t>
  </si>
  <si>
    <t>PUNTO 13</t>
  </si>
  <si>
    <t>VIA VECCHIA FERRERIA</t>
  </si>
  <si>
    <t>RAFFAEL SRL</t>
  </si>
  <si>
    <t>AL VECIO PORTEGO</t>
  </si>
  <si>
    <t>RAGNO D'ORO SNC</t>
  </si>
  <si>
    <t>RAGNO D'ORO</t>
  </si>
  <si>
    <t>ROSATO GIANLUCA</t>
  </si>
  <si>
    <t>PEPERONE PIZZA E SFIZIO</t>
  </si>
  <si>
    <t>SELF RESTAURANT RIGHETTI SRL</t>
  </si>
  <si>
    <t>SELF RESTAURANT RIGHETTI</t>
  </si>
  <si>
    <t>PIAZZA DEL DUOMO</t>
  </si>
  <si>
    <t>BAR INTERNO OSP CIVILE VICENZA</t>
  </si>
  <si>
    <t>VIALE FERDINANDO RODOLFI</t>
  </si>
  <si>
    <t>SERENISSIMA</t>
  </si>
  <si>
    <t>VIALE DELLA SCIENZA</t>
  </si>
  <si>
    <t>ITALIANO</t>
  </si>
  <si>
    <t>SHOPSI SRL</t>
  </si>
  <si>
    <t>NATURASI</t>
  </si>
  <si>
    <t>VIA DIVISIONE ACQUI</t>
  </si>
  <si>
    <t>SILENE SRL</t>
  </si>
  <si>
    <t>SILENE BIO BOTTEGA E CUCINA</t>
  </si>
  <si>
    <t>STRADELLA DEL GAROFOLINO</t>
  </si>
  <si>
    <t>SILVIA SARTORI SAS</t>
  </si>
  <si>
    <t>CAFFE BISTRONOMIA</t>
  </si>
  <si>
    <t>SUPERMERCATI RIVIERA SRL</t>
  </si>
  <si>
    <t>VIA GAETANO SALVEMINI</t>
  </si>
  <si>
    <t>VIALE DELLA PACE</t>
  </si>
  <si>
    <t>FAMILA VICENZA PARCO CITTA</t>
  </si>
  <si>
    <t>GALLERIA PARCO CITTA'</t>
  </si>
  <si>
    <t>SUPER A&amp;O LAGHI</t>
  </si>
  <si>
    <t>VIA DEI LAGHI</t>
  </si>
  <si>
    <t>EMISFERO VICENZA</t>
  </si>
  <si>
    <t>VAGRO SRL</t>
  </si>
  <si>
    <t>MOSTACCI</t>
  </si>
  <si>
    <t>VI.BAR SRL</t>
  </si>
  <si>
    <t>CAFFETTERIA BORGO BERGA</t>
  </si>
  <si>
    <t>PIAZZA PONTELANDOLFO</t>
  </si>
  <si>
    <t>WU LIANGLI</t>
  </si>
  <si>
    <t>CAFE' VERDI</t>
  </si>
  <si>
    <t>2 FOGHER SRL</t>
  </si>
  <si>
    <t>DUE FOGHER- PESCI E PIZZE</t>
  </si>
  <si>
    <t>STRADA STATALE 46 DEL PASUBIO</t>
  </si>
  <si>
    <t>SABATO  MATTINO    TUTTO IL GIORNO</t>
  </si>
  <si>
    <t>EUROBELLI S.A.S.</t>
  </si>
  <si>
    <t>ART CAFE</t>
  </si>
  <si>
    <t>ZANE'</t>
  </si>
  <si>
    <t xml:space="preserve">FED DI RIZZATO FRANCESCA &amp; C. </t>
  </si>
  <si>
    <t>OASI-S CAFE' LOUNGE BAR</t>
  </si>
  <si>
    <t>VIA ALESSANDRO MANZONI</t>
  </si>
  <si>
    <t xml:space="preserve">SI.MA. S.N.C. DI SANNA SIMONE </t>
  </si>
  <si>
    <t>LOCANDA 61</t>
  </si>
  <si>
    <t>EMISFERO ZANE</t>
  </si>
  <si>
    <t>REAL SRL</t>
  </si>
  <si>
    <t>PUNTO SIMPLY</t>
  </si>
  <si>
    <t>ZUGLIANO</t>
  </si>
  <si>
    <t>RISTORANTE/ TRATTORIA/OSTERIA/PIZZERIA</t>
  </si>
  <si>
    <t>ALIMENTARI/SUPERMECATO/GASTRONOMIA</t>
  </si>
  <si>
    <t>36077</t>
  </si>
  <si>
    <t>7/D</t>
  </si>
  <si>
    <t>2 G</t>
  </si>
  <si>
    <t>36011</t>
  </si>
  <si>
    <t>36071</t>
  </si>
  <si>
    <t>29/31</t>
  </si>
  <si>
    <t>36012</t>
  </si>
  <si>
    <t>239</t>
  </si>
  <si>
    <t>36061</t>
  </si>
  <si>
    <t>127</t>
  </si>
  <si>
    <t>88</t>
  </si>
  <si>
    <t>139</t>
  </si>
  <si>
    <t>43/A</t>
  </si>
  <si>
    <t>115</t>
  </si>
  <si>
    <t>63/64</t>
  </si>
  <si>
    <t>39</t>
  </si>
  <si>
    <t>34/A</t>
  </si>
  <si>
    <t>36050</t>
  </si>
  <si>
    <t>36042</t>
  </si>
  <si>
    <t>89</t>
  </si>
  <si>
    <t>36040</t>
  </si>
  <si>
    <t>36030</t>
  </si>
  <si>
    <t>36043</t>
  </si>
  <si>
    <t>1/3</t>
  </si>
  <si>
    <t>50/E</t>
  </si>
  <si>
    <t>110</t>
  </si>
  <si>
    <t>36020</t>
  </si>
  <si>
    <t>105</t>
  </si>
  <si>
    <t>36022</t>
  </si>
  <si>
    <t>36070</t>
  </si>
  <si>
    <t>36072</t>
  </si>
  <si>
    <t>36062</t>
  </si>
  <si>
    <t>34/D</t>
  </si>
  <si>
    <t>36073</t>
  </si>
  <si>
    <t>36051</t>
  </si>
  <si>
    <t>36031</t>
  </si>
  <si>
    <t>36033</t>
  </si>
  <si>
    <t>36023</t>
  </si>
  <si>
    <t>2/B</t>
  </si>
  <si>
    <t>16/17</t>
  </si>
  <si>
    <t>36045</t>
  </si>
  <si>
    <t>36034</t>
  </si>
  <si>
    <t>36035</t>
  </si>
  <si>
    <t>36063</t>
  </si>
  <si>
    <t>36054</t>
  </si>
  <si>
    <t>36075</t>
  </si>
  <si>
    <t>137</t>
  </si>
  <si>
    <t>36065</t>
  </si>
  <si>
    <t>173</t>
  </si>
  <si>
    <t>36025</t>
  </si>
  <si>
    <t>134</t>
  </si>
  <si>
    <t>18/6</t>
  </si>
  <si>
    <t>36026</t>
  </si>
  <si>
    <t>36076</t>
  </si>
  <si>
    <t>36010</t>
  </si>
  <si>
    <t>36060</t>
  </si>
  <si>
    <t>36027</t>
  </si>
  <si>
    <t>36066</t>
  </si>
  <si>
    <t>1/2</t>
  </si>
  <si>
    <t>36014</t>
  </si>
  <si>
    <t>107</t>
  </si>
  <si>
    <t>36015</t>
  </si>
  <si>
    <t>48/A</t>
  </si>
  <si>
    <t>125</t>
  </si>
  <si>
    <t>19/21</t>
  </si>
  <si>
    <t>36056</t>
  </si>
  <si>
    <t>1-3</t>
  </si>
  <si>
    <t>36016</t>
  </si>
  <si>
    <t>2/4/6</t>
  </si>
  <si>
    <t xml:space="preserve">3 </t>
  </si>
  <si>
    <t>2.</t>
  </si>
  <si>
    <t>23 A/B/C</t>
  </si>
  <si>
    <t>27/29</t>
  </si>
  <si>
    <t>36036</t>
  </si>
  <si>
    <t>36078</t>
  </si>
  <si>
    <t xml:space="preserve">2 </t>
  </si>
  <si>
    <t>36100</t>
  </si>
  <si>
    <t>163</t>
  </si>
  <si>
    <t>85/H</t>
  </si>
  <si>
    <t>464</t>
  </si>
  <si>
    <t>136</t>
  </si>
  <si>
    <t>36</t>
  </si>
  <si>
    <t>196</t>
  </si>
  <si>
    <t>212/214</t>
  </si>
  <si>
    <t>153</t>
  </si>
  <si>
    <t>182</t>
  </si>
  <si>
    <t>263</t>
  </si>
  <si>
    <t>5/7/9</t>
  </si>
  <si>
    <t>85</t>
  </si>
  <si>
    <t>109</t>
  </si>
  <si>
    <t>117</t>
  </si>
  <si>
    <t>42/44</t>
  </si>
  <si>
    <t>TREVISO</t>
  </si>
  <si>
    <t>Tipologia di esercizio</t>
  </si>
  <si>
    <t>AI GALLI SAS</t>
  </si>
  <si>
    <t>OSTERIA AI GALLI</t>
  </si>
  <si>
    <t>TV</t>
  </si>
  <si>
    <t>ALTIVOLE</t>
  </si>
  <si>
    <t>VIA SAN MICHELE</t>
  </si>
  <si>
    <t>VIA JOHN KENNEDY</t>
  </si>
  <si>
    <t>CARUSO CHRISTIAN</t>
  </si>
  <si>
    <t>HAPPY PIZZA ARCADE</t>
  </si>
  <si>
    <t>ARCADE</t>
  </si>
  <si>
    <t>F.LLI BOTTER SNC</t>
  </si>
  <si>
    <t>CENTRALE</t>
  </si>
  <si>
    <t>ASOLO</t>
  </si>
  <si>
    <t>PICCOLOTTO MATTEO</t>
  </si>
  <si>
    <t>MANIN</t>
  </si>
  <si>
    <t>SUPERMERCATO ASOLO SNC</t>
  </si>
  <si>
    <t>SUPERMERCATO ASOLO</t>
  </si>
  <si>
    <t>VIA SCHIAVONESCA MAROSTICANA</t>
  </si>
  <si>
    <t>MASTEM SNC</t>
  </si>
  <si>
    <t>RISTORANTE AL MOLINETTO</t>
  </si>
  <si>
    <t>BORSO DEL GRAPPA</t>
  </si>
  <si>
    <t>VIA MOLINETTO</t>
  </si>
  <si>
    <t>BARBAN ALBERTO SAS</t>
  </si>
  <si>
    <t>CAERANO DI SAN MARCO</t>
  </si>
  <si>
    <t>CASON ROBERTO</t>
  </si>
  <si>
    <t>PANE E CAFFE'</t>
  </si>
  <si>
    <t>CARBONERA</t>
  </si>
  <si>
    <t>VIA I MAGGIO</t>
  </si>
  <si>
    <t>LEA SNC</t>
  </si>
  <si>
    <t>OSTERIA SE C'ERI</t>
  </si>
  <si>
    <t>VIA CAL DI BREDA</t>
  </si>
  <si>
    <t>TIEPOLO SRL</t>
  </si>
  <si>
    <t>TIEPOLO PIZZERIA</t>
  </si>
  <si>
    <t>VIA BRIGATA MARCHE</t>
  </si>
  <si>
    <t>LEOPOLDO SRL</t>
  </si>
  <si>
    <t>OSTARIA ALLA TORRE</t>
  </si>
  <si>
    <t>CASALE SUL SILE</t>
  </si>
  <si>
    <t>N.O.M.A.R. SNC</t>
  </si>
  <si>
    <t>ROMA</t>
  </si>
  <si>
    <t>TRATT. CICCHETT. SIMIONATO SNC</t>
  </si>
  <si>
    <t>SIMIONATO</t>
  </si>
  <si>
    <t>VERONESE STEFANIA</t>
  </si>
  <si>
    <t>CORIVORIVO</t>
  </si>
  <si>
    <t>AL CENTRALE SNC</t>
  </si>
  <si>
    <t>AL CENTRALE PIZZ.</t>
  </si>
  <si>
    <t>CASIER</t>
  </si>
  <si>
    <t>CATTARIN PIERANGELO</t>
  </si>
  <si>
    <t>CATTARIN</t>
  </si>
  <si>
    <t>VIA PRINCIPALE</t>
  </si>
  <si>
    <t>LA PERLA SNC</t>
  </si>
  <si>
    <t>ANEMA &amp; CORE</t>
  </si>
  <si>
    <t>MAISTRELLO ORNELLO</t>
  </si>
  <si>
    <t>HOSTERIA VECIA FRESCADA</t>
  </si>
  <si>
    <t>VIA TERRAGLIO</t>
  </si>
  <si>
    <t>SARTORATO ANDREA &amp; C</t>
  </si>
  <si>
    <t>AL SILE</t>
  </si>
  <si>
    <t>PIAZZA SAN PIO X</t>
  </si>
  <si>
    <t>SOC. COOP. GIUSEPPE TONIOLO C.</t>
  </si>
  <si>
    <t>VIALE DELLA LIBERAZIONE</t>
  </si>
  <si>
    <t>AURORA SNC</t>
  </si>
  <si>
    <t>TONI PIZZERIA</t>
  </si>
  <si>
    <t>CASTELFRANCO VENETO</t>
  </si>
  <si>
    <t>AUTOGRILL ITALIA SPA</t>
  </si>
  <si>
    <t>VIA DEI CARPANI</t>
  </si>
  <si>
    <t>LUNEDI  MATTINO  DOMENICA</t>
  </si>
  <si>
    <t>VIA FORCHE</t>
  </si>
  <si>
    <t>COOP. AGR.PROD. CASTELLANA SCA</t>
  </si>
  <si>
    <t>VIA DON ERNESTO BORDIGNON</t>
  </si>
  <si>
    <t>DA GENNARO SNC</t>
  </si>
  <si>
    <t>DA GENNARO PIZZ.</t>
  </si>
  <si>
    <t>VIA CASTELLANA</t>
  </si>
  <si>
    <t>F.LLI BASSO SNC</t>
  </si>
  <si>
    <t>FRACCARO POINT SRL</t>
  </si>
  <si>
    <t>FRACCARO CAFE'</t>
  </si>
  <si>
    <t>VIA CIRCONVALLAZIONE OVEST</t>
  </si>
  <si>
    <t>GALLINA FAVORITA</t>
  </si>
  <si>
    <t>LA FAVORITA</t>
  </si>
  <si>
    <t>VIA RIZZETTI</t>
  </si>
  <si>
    <t>GOLOSANDO SNC</t>
  </si>
  <si>
    <t>GOLOSANDO</t>
  </si>
  <si>
    <t>PIAZZA DELLA SERENISSIMA</t>
  </si>
  <si>
    <t>BAR PIASTRA CASTELFRANCO VENET</t>
  </si>
  <si>
    <t>IPER MONTEBELLO SPA</t>
  </si>
  <si>
    <t>IPER CASTELFRANCO</t>
  </si>
  <si>
    <t>LOC.ALLA SPERANZA</t>
  </si>
  <si>
    <t>ALLA SPERANZA</t>
  </si>
  <si>
    <t>BORGO VICENZA</t>
  </si>
  <si>
    <t>LA 12 ORA</t>
  </si>
  <si>
    <t>VIA DELLA BORSA</t>
  </si>
  <si>
    <t>MC GREGOR'S SRL</t>
  </si>
  <si>
    <t>KITSCH</t>
  </si>
  <si>
    <t>NASATO FEDERICA</t>
  </si>
  <si>
    <t>IL TAMBURELLO</t>
  </si>
  <si>
    <t>VIA POZZI DI SALVATRONDA</t>
  </si>
  <si>
    <t>S.I.D.O. SRL</t>
  </si>
  <si>
    <t>CADORO</t>
  </si>
  <si>
    <t>VIA CIRCONVALLAZIONE EST</t>
  </si>
  <si>
    <t>SUPERMERCATO REGINATO SAS</t>
  </si>
  <si>
    <t>MAXI</t>
  </si>
  <si>
    <t>BORGO PADOVA</t>
  </si>
  <si>
    <t>TERRA MADRE SRL</t>
  </si>
  <si>
    <t>TRENTIN BRUNO</t>
  </si>
  <si>
    <t>PAUSA 12</t>
  </si>
  <si>
    <t>VIA PODGORA</t>
  </si>
  <si>
    <t>ATTIANESE STEFANO</t>
  </si>
  <si>
    <t>BEERSHEEBA</t>
  </si>
  <si>
    <t>CASTELLO DI GODEGO</t>
  </si>
  <si>
    <t>TAGLIAFIERRO PASQUALE</t>
  </si>
  <si>
    <t>ISOLA BLU PIZZERIA</t>
  </si>
  <si>
    <t>CRI.RE. SNC DI SACCHETTO RENZO</t>
  </si>
  <si>
    <t>L'HOSTERIA BAR ROMA</t>
  </si>
  <si>
    <t>CHIARANO</t>
  </si>
  <si>
    <t>CALINFERNO SNC</t>
  </si>
  <si>
    <t>CALINFERNO</t>
  </si>
  <si>
    <t>CODOGNE'</t>
  </si>
  <si>
    <t>VIA GIULIO CESARE</t>
  </si>
  <si>
    <t>MELA COTOGNA SNC</t>
  </si>
  <si>
    <t>MELA COTOGNA</t>
  </si>
  <si>
    <t>VIA GIANNINO ANCILLOTTO</t>
  </si>
  <si>
    <t>SOCIETA' AGRICOLA ARNERONI SAS</t>
  </si>
  <si>
    <t>AGRITURISMO ARNERONI</t>
  </si>
  <si>
    <t>VIA ARNERONI</t>
  </si>
  <si>
    <t>ZOPPAS KATIUSCA</t>
  </si>
  <si>
    <t>MILLERIGHE</t>
  </si>
  <si>
    <t>CARLET ANNA MARIA</t>
  </si>
  <si>
    <t>GIRA SOLE</t>
  </si>
  <si>
    <t>COLLE UMBERTO</t>
  </si>
  <si>
    <t>VIALE OTTAVIO BOTTECCHIA</t>
  </si>
  <si>
    <t>CLUB SRL</t>
  </si>
  <si>
    <t>PAUSA CAFFE'</t>
  </si>
  <si>
    <t>VIA CALATE</t>
  </si>
  <si>
    <t>GAVA PIERINA</t>
  </si>
  <si>
    <t>FLOU CAFE'</t>
  </si>
  <si>
    <t>VIA MENARE'</t>
  </si>
  <si>
    <t>CONEGLIANO</t>
  </si>
  <si>
    <t>VIA BORGO PORTA</t>
  </si>
  <si>
    <t>BANDIUS SNC</t>
  </si>
  <si>
    <t>ZAGO</t>
  </si>
  <si>
    <t>BAR MENDOZA SAS</t>
  </si>
  <si>
    <t>DA LORIS</t>
  </si>
  <si>
    <t>BAR PADOVA SNC</t>
  </si>
  <si>
    <t>PIAZZETTA XVIII LUGLIO</t>
  </si>
  <si>
    <t>BRAMUZZO ESTER ROSA</t>
  </si>
  <si>
    <t>GENNY</t>
  </si>
  <si>
    <t>VIALE ISTRIA</t>
  </si>
  <si>
    <t>VIALE VENEZIA</t>
  </si>
  <si>
    <t>CLAN SRL</t>
  </si>
  <si>
    <t>BINGO SUPERMERCATI</t>
  </si>
  <si>
    <t>VIALE ITALIA</t>
  </si>
  <si>
    <t>VIA SAN GIUSEPPE</t>
  </si>
  <si>
    <t>DA GENNARO PIZZERIA</t>
  </si>
  <si>
    <t>VIA ADOLFO VITAL</t>
  </si>
  <si>
    <t>EAT'S ITALIA SRL</t>
  </si>
  <si>
    <t>EAT'S</t>
  </si>
  <si>
    <t>LUCI SNC</t>
  </si>
  <si>
    <t>LUCI COFFEE</t>
  </si>
  <si>
    <t>MARIELISA</t>
  </si>
  <si>
    <t>SAN MARTINO</t>
  </si>
  <si>
    <t>PIAZZA IV NOVEMBRE</t>
  </si>
  <si>
    <t>RISTO PASSAPAROLA SRL</t>
  </si>
  <si>
    <t>VIA PASTIN SANTIN</t>
  </si>
  <si>
    <t>DOMENICA  POMERIGGIO  LUNEDI  TUTTO IL GIORNO</t>
  </si>
  <si>
    <t>RISTORAZ. OTTAVIAN SPA</t>
  </si>
  <si>
    <t>CASA TONIOLO</t>
  </si>
  <si>
    <t>VIA FABIO FILZI</t>
  </si>
  <si>
    <t>SOMMA PASQUALE</t>
  </si>
  <si>
    <t>AL FOGHER</t>
  </si>
  <si>
    <t>VIA XI FEBBRAIO</t>
  </si>
  <si>
    <t>TINO SRL SOC UNIPERSONALE</t>
  </si>
  <si>
    <t>EAT'S BISTRO'</t>
  </si>
  <si>
    <t>COAN STIEFEL SRL</t>
  </si>
  <si>
    <t>COAN BAR</t>
  </si>
  <si>
    <t>CORDIGNANO</t>
  </si>
  <si>
    <t>VIA LUIGI CADORNA</t>
  </si>
  <si>
    <t>PULL IN SNC</t>
  </si>
  <si>
    <t>PULL IN PIZZERIA</t>
  </si>
  <si>
    <t>VIA PASUBIO NORD</t>
  </si>
  <si>
    <t>LUNEDI  TUTTO IL GIORNO  SABATO  MATTINO</t>
  </si>
  <si>
    <t>FEMAL SRL</t>
  </si>
  <si>
    <t>MONTELLO</t>
  </si>
  <si>
    <t>CORNUDA</t>
  </si>
  <si>
    <t>LA ROCCA SNC</t>
  </si>
  <si>
    <t>ROCCA RIST.</t>
  </si>
  <si>
    <t>DAMA RISTORAZIONE SNC</t>
  </si>
  <si>
    <t>DON MATTEO</t>
  </si>
  <si>
    <t>CROCETTA DEL MONTELLO</t>
  </si>
  <si>
    <t>VIA BRENTELLONA</t>
  </si>
  <si>
    <t>FARRA DI SOLIGO</t>
  </si>
  <si>
    <t>VIA ANTONIO BELLUCCI</t>
  </si>
  <si>
    <t>DA CONDO SNC DI CANEL ENRICO</t>
  </si>
  <si>
    <t>LOCANDA DA CONDO</t>
  </si>
  <si>
    <t>VIA FONTANA</t>
  </si>
  <si>
    <t>DE LUCCA DINA</t>
  </si>
  <si>
    <t>MESSICO</t>
  </si>
  <si>
    <t>FONTANELLE</t>
  </si>
  <si>
    <t>FUSARINI DIEGO</t>
  </si>
  <si>
    <t>MILADY</t>
  </si>
  <si>
    <t>FONTE</t>
  </si>
  <si>
    <t>PIAZZA ONE'</t>
  </si>
  <si>
    <t>FAMILA ONE FONTE</t>
  </si>
  <si>
    <t>GALLERIA FAMILA</t>
  </si>
  <si>
    <t>DA.DA. SNC</t>
  </si>
  <si>
    <t>AL MUNICIPIO</t>
  </si>
  <si>
    <t>GAIARINE</t>
  </si>
  <si>
    <t>PIAZZA VITTORIO EMANUELE II</t>
  </si>
  <si>
    <t>ZAGHET LAURA</t>
  </si>
  <si>
    <t>KALIKA'</t>
  </si>
  <si>
    <t>VIA VIZZA</t>
  </si>
  <si>
    <t>SPAG.PIZ.CHARLOT SAS</t>
  </si>
  <si>
    <t>CHARLOT PIZ.SPAGH.</t>
  </si>
  <si>
    <t>GIAVERA DEL MONTELLO</t>
  </si>
  <si>
    <t>VIA CONCA NUOVA</t>
  </si>
  <si>
    <t>IPER SPAK</t>
  </si>
  <si>
    <t>VICOLO DON GIOVANNI SCROCCARO</t>
  </si>
  <si>
    <t>DUE F.P. SRL</t>
  </si>
  <si>
    <t>PALU'</t>
  </si>
  <si>
    <t>ISTRANA</t>
  </si>
  <si>
    <t>VIA BADOERE</t>
  </si>
  <si>
    <t>FINOTTI  GERARDO</t>
  </si>
  <si>
    <t>JERRY</t>
  </si>
  <si>
    <t>F.LLI VEDELAGO SRL</t>
  </si>
  <si>
    <t>ROSSETTO GIANFRANCO</t>
  </si>
  <si>
    <t>VIA NAZARIO SAURO</t>
  </si>
  <si>
    <t>A CASA MIA SRL</t>
  </si>
  <si>
    <t>A CASA MIA</t>
  </si>
  <si>
    <t>MARENO DI PIAVE</t>
  </si>
  <si>
    <t>PIAZZA VITTORIO EMANUELE III</t>
  </si>
  <si>
    <t>MAGAZZINI ZANCHETTA</t>
  </si>
  <si>
    <t>SELF RISTORO</t>
  </si>
  <si>
    <t>VIA CAMPI</t>
  </si>
  <si>
    <t>DOMENICA  TUTTO IL GIORNO  LUNEDI  TUTTO IL GIORNO</t>
  </si>
  <si>
    <t>BAR CAFFE' GALLERIA SNC</t>
  </si>
  <si>
    <t>GALLERIA</t>
  </si>
  <si>
    <t>MOGLIANO VENETO</t>
  </si>
  <si>
    <t>GALLERIA AVOGADRO DEGLI AZZONI</t>
  </si>
  <si>
    <t>BIOE' SRL</t>
  </si>
  <si>
    <t>BIO E'</t>
  </si>
  <si>
    <t>ASSICURAZ.GENERALI</t>
  </si>
  <si>
    <t>VIA MAROCCHESA</t>
  </si>
  <si>
    <t>COOP ALLEANZA 3.0 DIV.NORDEST</t>
  </si>
  <si>
    <t>VIA RONZINELLA</t>
  </si>
  <si>
    <t>DANILO ALBERGO SNC</t>
  </si>
  <si>
    <t>DA DANILO</t>
  </si>
  <si>
    <t>VIA TORNI</t>
  </si>
  <si>
    <t>DIES SOFIA</t>
  </si>
  <si>
    <t>BEVIAMOCI SOPRA</t>
  </si>
  <si>
    <t>VIA COSTANTE GRIS</t>
  </si>
  <si>
    <t>ENOTECA LA FENICE SNC</t>
  </si>
  <si>
    <t>VENERDI    DOMENICA  POMERIGGIO</t>
  </si>
  <si>
    <t>FARAMAX SAS</t>
  </si>
  <si>
    <t>THANKS PUB</t>
  </si>
  <si>
    <t>PIZZERIA AI BERSAGLIERI SNC</t>
  </si>
  <si>
    <t>PIZZALONGA AWAY</t>
  </si>
  <si>
    <t>VIA ITALO SVEVO</t>
  </si>
  <si>
    <t>AI BERSAGLIERI PIZZ.</t>
  </si>
  <si>
    <t>VIA NICCOLO' MACHIAVELLI</t>
  </si>
  <si>
    <t>VECCHIATO LEDA</t>
  </si>
  <si>
    <t>VIA OLME</t>
  </si>
  <si>
    <t>MONTEBELLUNA</t>
  </si>
  <si>
    <t>VIA SCHIAVONESCA PRIULA</t>
  </si>
  <si>
    <t>CAFFE' GARIBALDI SNC</t>
  </si>
  <si>
    <t>CAFFE' GARIBALDI</t>
  </si>
  <si>
    <t>PIAZZA JEAN MONNET</t>
  </si>
  <si>
    <t>CASTIGLIONI FABIO</t>
  </si>
  <si>
    <t>PIZZA AL TAGLIO DANIELA</t>
  </si>
  <si>
    <t>VIA LUIGI GALVANI</t>
  </si>
  <si>
    <t>CAVOUR RISTO BAR SRL</t>
  </si>
  <si>
    <t>CAVOUR</t>
  </si>
  <si>
    <t>IL CAMPO</t>
  </si>
  <si>
    <t>DATHO SNC</t>
  </si>
  <si>
    <t>SALE E PEPE</t>
  </si>
  <si>
    <t>VIA DINO BUZZATI</t>
  </si>
  <si>
    <t>DE CESARO G.&amp; C. SNC</t>
  </si>
  <si>
    <t>LA TERRAZZA</t>
  </si>
  <si>
    <t>GAST. GUSTO E TRADIZIONE SRL</t>
  </si>
  <si>
    <t>BAR OSPEDALE MONTEBELLUNA</t>
  </si>
  <si>
    <t>VIA PALMIRO TOGLIATTI</t>
  </si>
  <si>
    <t>MAFFIONE PIETRO</t>
  </si>
  <si>
    <t>CAFFE' CLUB</t>
  </si>
  <si>
    <t>MAGRI SAS</t>
  </si>
  <si>
    <t>OSTI - NATI</t>
  </si>
  <si>
    <t>VIA EMILIO BONGIOVANNI</t>
  </si>
  <si>
    <t>MATTOROSSO SRL</t>
  </si>
  <si>
    <t>MATTOROSSO</t>
  </si>
  <si>
    <t>MEMOLA MICHELE</t>
  </si>
  <si>
    <t>K2</t>
  </si>
  <si>
    <t>VIA ERIZZO</t>
  </si>
  <si>
    <t>MICHIELIN DANIELA</t>
  </si>
  <si>
    <t>SAN REMO</t>
  </si>
  <si>
    <t>VIA FELTRINA SUD</t>
  </si>
  <si>
    <t>MONTESITO SRL UNIPERSONALE</t>
  </si>
  <si>
    <t>CORTE MAGGIORE</t>
  </si>
  <si>
    <t>PIAZZA CORTE MAGGIORE</t>
  </si>
  <si>
    <t>PEROSIN SAS</t>
  </si>
  <si>
    <t>SERVII E RIVERII</t>
  </si>
  <si>
    <t>RISTORAZIONE 2000</t>
  </si>
  <si>
    <t>SANT'ANTONIO</t>
  </si>
  <si>
    <t>SAPORI DI CASA DI DURANTE OMAR</t>
  </si>
  <si>
    <t>CAMON DA OMAR</t>
  </si>
  <si>
    <t>VIA GIAN FRANCESCO MALIPIERO</t>
  </si>
  <si>
    <t>VIA SAN CARLO</t>
  </si>
  <si>
    <t>SILE SRL</t>
  </si>
  <si>
    <t>BERTOLINI</t>
  </si>
  <si>
    <t>VIALE PIETRO BERTOLINI</t>
  </si>
  <si>
    <t>IPERSIMPLY</t>
  </si>
  <si>
    <t>STELLA S.A.S.</t>
  </si>
  <si>
    <t>ALLA STELLA</t>
  </si>
  <si>
    <t>PIAZZA NICCOLO' TOMMASEO</t>
  </si>
  <si>
    <t>MERCOLEDI    SABATO  MATTINO</t>
  </si>
  <si>
    <t>MOTTA DI LIVENZA</t>
  </si>
  <si>
    <t>DE BASTIANI MONICA</t>
  </si>
  <si>
    <t>ATMOSPHERA</t>
  </si>
  <si>
    <t>VIA ARGINE A SINISTRA</t>
  </si>
  <si>
    <t>FOOD EXPRESS SRLS</t>
  </si>
  <si>
    <t>FOOD EXPRESS</t>
  </si>
  <si>
    <t>VIA ALDO MORO</t>
  </si>
  <si>
    <t>GIUST MARIA</t>
  </si>
  <si>
    <t>GIN BAR</t>
  </si>
  <si>
    <t>PIAZZA LUIGI LUZZATTI</t>
  </si>
  <si>
    <t>TRATTORIA AI DUE MORI SNC</t>
  </si>
  <si>
    <t>AI DUE MORI</t>
  </si>
  <si>
    <t>VIA UGO RUSALEN</t>
  </si>
  <si>
    <t>A &amp; B SNC</t>
  </si>
  <si>
    <t>AL NIDO PIZZERIA</t>
  </si>
  <si>
    <t>NERVESA DELLA BATTAGLIA</t>
  </si>
  <si>
    <t>BARRO CAROLA</t>
  </si>
  <si>
    <t>VIA PRIULA</t>
  </si>
  <si>
    <t>PERISSINOTTO MANUEL</t>
  </si>
  <si>
    <t>OSTERIA MONTELLO</t>
  </si>
  <si>
    <t>VIA GENIO ZAPPATORI</t>
  </si>
  <si>
    <t>AN.VI.SIA DI DALLA TORRE SIMON</t>
  </si>
  <si>
    <t xml:space="preserve"> AL GATTOLE'</t>
  </si>
  <si>
    <t>ODERZO</t>
  </si>
  <si>
    <t>VIA UMBERTO I</t>
  </si>
  <si>
    <t>OWW ODERZO</t>
  </si>
  <si>
    <t>VIA GIOVANNI PEZZULO</t>
  </si>
  <si>
    <t>LA BETULLA SNC</t>
  </si>
  <si>
    <t>LA BETULLA</t>
  </si>
  <si>
    <t>VIA DEI PALEOVENETI</t>
  </si>
  <si>
    <t>DOMENICA    SABATO  POMERIGGIO</t>
  </si>
  <si>
    <t>PARPINELLO CARLA</t>
  </si>
  <si>
    <t>AL MERCATO</t>
  </si>
  <si>
    <t>PIAZZA CAVOUR</t>
  </si>
  <si>
    <t>PIZZALANDIA 2 SAS</t>
  </si>
  <si>
    <t>AL GAMBERO D'ORO</t>
  </si>
  <si>
    <t>PIAZZA VALENTINO RIZZO</t>
  </si>
  <si>
    <t>GLI INGORDI</t>
  </si>
  <si>
    <t>SANSOVINO SNC</t>
  </si>
  <si>
    <t>SANSOVINO</t>
  </si>
  <si>
    <t>VIA PER PIAVON</t>
  </si>
  <si>
    <t>MENSA DIP OSP ODERZO</t>
  </si>
  <si>
    <t>VIA LUIGI LUZZATTI</t>
  </si>
  <si>
    <t>TALON ORNELLA</t>
  </si>
  <si>
    <t>PIACERIDIGOLA</t>
  </si>
  <si>
    <t>VIA SORDELLO</t>
  </si>
  <si>
    <t>MEGA ODERZO</t>
  </si>
  <si>
    <t>VIA MAESTRI DEL COMMERCIO</t>
  </si>
  <si>
    <t>FAMILA ODERZO</t>
  </si>
  <si>
    <t>VERNO E'</t>
  </si>
  <si>
    <t>AL BERSAGLIERE</t>
  </si>
  <si>
    <t>VIA GABRIELE D'ANNUNZIO</t>
  </si>
  <si>
    <t>DOMENICA  TUTTO IL GIORNO  GIOVEDI  TUTTO IL GIORNO</t>
  </si>
  <si>
    <t>GAL FRANCESCO</t>
  </si>
  <si>
    <t>ALIMENTARI CRAI</t>
  </si>
  <si>
    <t>ORMELLE</t>
  </si>
  <si>
    <t>PAESE</t>
  </si>
  <si>
    <t>VIALE SANTE BIASUZZI</t>
  </si>
  <si>
    <t>VIA LUIGI NEGRELLI</t>
  </si>
  <si>
    <t>BUSATO CLAUDIO</t>
  </si>
  <si>
    <t>PICCOLO</t>
  </si>
  <si>
    <t>VIALE BERNARDINO PANIZZA</t>
  </si>
  <si>
    <t>LUNEDI    DOMENICA  POMERIGGIO</t>
  </si>
  <si>
    <t>DE ROSSI LIDIA</t>
  </si>
  <si>
    <t>PARABASSO BAR</t>
  </si>
  <si>
    <t>VIA SENATORE PELLEGRINI</t>
  </si>
  <si>
    <t>GASPARINI GIULIA</t>
  </si>
  <si>
    <t>SPAZIO CAFFELARTE</t>
  </si>
  <si>
    <t>GASTRONOMIA TROMBETTA SNC</t>
  </si>
  <si>
    <t>AL GRANAIO</t>
  </si>
  <si>
    <t>PIAZZA EVELINA QUAGLIA</t>
  </si>
  <si>
    <t>TROMBETTA CAFFETTERIA</t>
  </si>
  <si>
    <t>VIA ORTIGARA</t>
  </si>
  <si>
    <t>GUTEN SRL</t>
  </si>
  <si>
    <t>CAFFE' LA CASTELLANA</t>
  </si>
  <si>
    <t>MONDOPIZZA SNC</t>
  </si>
  <si>
    <t>MONDOPIZZA</t>
  </si>
  <si>
    <t>POLIN SNC</t>
  </si>
  <si>
    <t>POLIN</t>
  </si>
  <si>
    <t>RISTOVICTUS SRL</t>
  </si>
  <si>
    <t>CLUB DEGLI SPAGHETTI</t>
  </si>
  <si>
    <t>AZZURRA DI BORTOLAMIOL G&amp;C SNC</t>
  </si>
  <si>
    <t>PIZZERIA AZZURRA</t>
  </si>
  <si>
    <t>PEDEROBBA</t>
  </si>
  <si>
    <t>DA NANDO</t>
  </si>
  <si>
    <t>VIA DEL CRISTO</t>
  </si>
  <si>
    <t>SAPORI DI CASA DA OMAR</t>
  </si>
  <si>
    <t>FAMILA COVOLO</t>
  </si>
  <si>
    <t>ZANELLA MICHELE</t>
  </si>
  <si>
    <t>SPIGA D'ORO PIZZERIA</t>
  </si>
  <si>
    <t>GIOVEDI  TUTTO IL GIORNO</t>
  </si>
  <si>
    <t>ANGELI SAS</t>
  </si>
  <si>
    <t>ANGELI</t>
  </si>
  <si>
    <t>PIEVE DI SOLIGO</t>
  </si>
  <si>
    <t>VIA TACCHINI</t>
  </si>
  <si>
    <t>CECCHIN DAVIDE</t>
  </si>
  <si>
    <t>TWINS BAR</t>
  </si>
  <si>
    <t>VIA NUBIE</t>
  </si>
  <si>
    <t>PERBAKKO SNC</t>
  </si>
  <si>
    <t>PERBAKKO</t>
  </si>
  <si>
    <t>MARTEDI    SABATO</t>
  </si>
  <si>
    <t>FAMILA PIEVE SOLIGO</t>
  </si>
  <si>
    <t>ZULIANI SUSANNA</t>
  </si>
  <si>
    <t>BERTOLA DI G &amp; G SAS</t>
  </si>
  <si>
    <t>BERTOLA</t>
  </si>
  <si>
    <t>PONTE DI PIAVE</t>
  </si>
  <si>
    <t>VIA FERRATA</t>
  </si>
  <si>
    <t>BETTIOL G.&amp; C. S.N.C.</t>
  </si>
  <si>
    <t>SUPERMARKET</t>
  </si>
  <si>
    <t>PONZANO VENETO</t>
  </si>
  <si>
    <t>VIA CASETTE</t>
  </si>
  <si>
    <t>F.LLI CUOMO SAS</t>
  </si>
  <si>
    <t>ANTICA OSTERIA DA MICEON</t>
  </si>
  <si>
    <t>VIA TALPONERA</t>
  </si>
  <si>
    <t>ASIA SAS</t>
  </si>
  <si>
    <t>STELLA D'ITALIA</t>
  </si>
  <si>
    <t>PREGANZIOL</t>
  </si>
  <si>
    <t>GIORDANO AMALIA SNC</t>
  </si>
  <si>
    <t>PINO'S PIZZ.</t>
  </si>
  <si>
    <t>VIA GIOVANNI PASCOLI</t>
  </si>
  <si>
    <t>MAGI SNC</t>
  </si>
  <si>
    <t>GIORNALE &amp; CAFFE'</t>
  </si>
  <si>
    <t>MELE ILARIA</t>
  </si>
  <si>
    <t>BLACK &amp; WHITE CAFE'</t>
  </si>
  <si>
    <t>PIAZZA VITTORIO BACHELET</t>
  </si>
  <si>
    <t>PEGASO DI CARBONI MANUEL SAS</t>
  </si>
  <si>
    <t>QUELLIGIUSTI</t>
  </si>
  <si>
    <t>VIA SCHIAVONIA</t>
  </si>
  <si>
    <t>PISTOLATO VANDA</t>
  </si>
  <si>
    <t>RISTORANTE EL PATIO</t>
  </si>
  <si>
    <t>VIA CROCE</t>
  </si>
  <si>
    <t>MARTEDI  TUTTO IL GIORNO  MERCOLEDI  MATTINO</t>
  </si>
  <si>
    <t>RISTORAZIONE VENETA SAS</t>
  </si>
  <si>
    <t>MANDRILLO TREVISO</t>
  </si>
  <si>
    <t>MENSA DIP EX PIME</t>
  </si>
  <si>
    <t>AL GALLO SNC DI CORSO ANTONIA</t>
  </si>
  <si>
    <t>AL GALLO</t>
  </si>
  <si>
    <t>QUINTO DI TREVISO</t>
  </si>
  <si>
    <t>AL PAN BON SNC</t>
  </si>
  <si>
    <t>AL PAN BON</t>
  </si>
  <si>
    <t>VIA DON GIUSEPPE GIROTTO</t>
  </si>
  <si>
    <t>ALDODICI SRL</t>
  </si>
  <si>
    <t>ALDODICI</t>
  </si>
  <si>
    <t>DE LAZZARI MICHELE</t>
  </si>
  <si>
    <t>DA MICHELE E LUISA</t>
  </si>
  <si>
    <t>PIZZERIA DA MICHELE SNC</t>
  </si>
  <si>
    <t>DA MICHELE</t>
  </si>
  <si>
    <t>VIA CORNAROTTA</t>
  </si>
  <si>
    <t>TRATTORIA AL CAVALLINO SRL</t>
  </si>
  <si>
    <t>AL CAVALLINO</t>
  </si>
  <si>
    <t>AL CAVALLINO SAS</t>
  </si>
  <si>
    <t>AL CAVALLINO PIZZERIA</t>
  </si>
  <si>
    <t>RESANA</t>
  </si>
  <si>
    <t>LA TERRAZZA SRL</t>
  </si>
  <si>
    <t>CALGARO MATTEO</t>
  </si>
  <si>
    <t>LA BARCHESSA</t>
  </si>
  <si>
    <t>RIESE PIO X</t>
  </si>
  <si>
    <t>VIA GIUSEPPE SARTO</t>
  </si>
  <si>
    <t>PALAZZON GRADENIGO</t>
  </si>
  <si>
    <t>VIA PALAZZON</t>
  </si>
  <si>
    <t>RONCADE</t>
  </si>
  <si>
    <t>VIA C DA CONEGLIANO</t>
  </si>
  <si>
    <t>EREDI TONET SNC</t>
  </si>
  <si>
    <t>ALL'ORSO</t>
  </si>
  <si>
    <t>VIA D ANNUNZIO</t>
  </si>
  <si>
    <t>VIA CA' MORELLI</t>
  </si>
  <si>
    <t>OSTERIA PONTE DEI CARRI SNC</t>
  </si>
  <si>
    <t>OSTERIA ALLE VIGNE</t>
  </si>
  <si>
    <t>VIA NUOVA</t>
  </si>
  <si>
    <t>PAGLIUSO FRANCESCO ANTONIO</t>
  </si>
  <si>
    <t>AL PORTICO</t>
  </si>
  <si>
    <t>PERCHE' SRL</t>
  </si>
  <si>
    <t>PERCHE'</t>
  </si>
  <si>
    <t>PINO SNC</t>
  </si>
  <si>
    <t>VIA PRINCIPE</t>
  </si>
  <si>
    <t>SCARPULLA CARMELINDA</t>
  </si>
  <si>
    <t>ALLA ROCCA</t>
  </si>
  <si>
    <t>VALLIO S.N.C.</t>
  </si>
  <si>
    <t>VALLIO PIZZ.</t>
  </si>
  <si>
    <t>SALGAREDA</t>
  </si>
  <si>
    <t>VIALE VENETO</t>
  </si>
  <si>
    <t>DA CLAUDIO SNC</t>
  </si>
  <si>
    <t>ALLA MONTAGNOLA PIZZERIA</t>
  </si>
  <si>
    <t>PIAZZA ABATE MICHELE COLOMBO</t>
  </si>
  <si>
    <t>LA ROSA SNC</t>
  </si>
  <si>
    <t>LA ROSA</t>
  </si>
  <si>
    <t>VIA DEGLI ALPINI</t>
  </si>
  <si>
    <t>CAFFETTERIA DEL CENTRO SAS</t>
  </si>
  <si>
    <t>CAFFETTERIA DEL CENTRO</t>
  </si>
  <si>
    <t>SAN BIAGIO DI CALLALTA</t>
  </si>
  <si>
    <t>VIA POSTUMIA OVEST</t>
  </si>
  <si>
    <t>DA SILVANO SNC</t>
  </si>
  <si>
    <t>DA SILVANO</t>
  </si>
  <si>
    <t>MERCOLEDI  POMERIGGIO  DOMENICA  POMERIGGIO</t>
  </si>
  <si>
    <t>ELLERRE SNC</t>
  </si>
  <si>
    <t>CANNAREGIO PIZZ.</t>
  </si>
  <si>
    <t>VIA CANAREGGIO</t>
  </si>
  <si>
    <t>ESSEDI SNC</t>
  </si>
  <si>
    <t>PIZZEVIA</t>
  </si>
  <si>
    <t>VIALE I MAGGIO</t>
  </si>
  <si>
    <t>IPERCONAD SAN BIAGIO SRL</t>
  </si>
  <si>
    <t>IPERCONAD</t>
  </si>
  <si>
    <t>MARIOTTO ANTONELLA</t>
  </si>
  <si>
    <t>PURA VIDA PIZZERIA</t>
  </si>
  <si>
    <t>ZAMUNER MICHELE</t>
  </si>
  <si>
    <t>MATTIA'S COFFEE BAR &amp; RESTAURA</t>
  </si>
  <si>
    <t>CALINFERNO PIZZERIA</t>
  </si>
  <si>
    <t>SAN FIOR</t>
  </si>
  <si>
    <t>VIA ZOPPE'</t>
  </si>
  <si>
    <t>GIO.ELI RISTORAZIONE S.R.L.</t>
  </si>
  <si>
    <t>BAR RISTORANTE ESPLANADE</t>
  </si>
  <si>
    <t>PIAZZA VENEZIA</t>
  </si>
  <si>
    <t>SOMMA GIOVANNI</t>
  </si>
  <si>
    <t>CALIFORNIA</t>
  </si>
  <si>
    <t>MEGA SAN FIOR</t>
  </si>
  <si>
    <t>VIA VILLA LICCER</t>
  </si>
  <si>
    <t>FALCONE GIUSEPPE</t>
  </si>
  <si>
    <t>DA GIUSEPPE</t>
  </si>
  <si>
    <t>SAN PIETRO DI FELETTO</t>
  </si>
  <si>
    <t>VIA CERVANO</t>
  </si>
  <si>
    <t>PER SRL</t>
  </si>
  <si>
    <t>PERENZIN</t>
  </si>
  <si>
    <t>PIZZERIA TRATTORIA NETTUNO SNC</t>
  </si>
  <si>
    <t>NETTUNO PIZZERIA</t>
  </si>
  <si>
    <t>SAN VENDEMIANO</t>
  </si>
  <si>
    <t>VIA LIBERAZIONE</t>
  </si>
  <si>
    <t>QUATERNARIO</t>
  </si>
  <si>
    <t>VIA FRIULI</t>
  </si>
  <si>
    <t>FAMILA SAN VENDEMIANO</t>
  </si>
  <si>
    <t>VIA LONGHENA</t>
  </si>
  <si>
    <t>ALLA BOLDA S.A.S.</t>
  </si>
  <si>
    <t>ALLA BOLDA</t>
  </si>
  <si>
    <t>SANTA LUCIA DI PIAVE</t>
  </si>
  <si>
    <t>VIA MARENO</t>
  </si>
  <si>
    <t>BENEDETTI LUCA</t>
  </si>
  <si>
    <t>BELLA VENEZIA PIZZERIA</t>
  </si>
  <si>
    <t>DA ROS BERNARDINO</t>
  </si>
  <si>
    <t>BAR...COLLANDO</t>
  </si>
  <si>
    <t>VIA DISTRETTUALE</t>
  </si>
  <si>
    <t>MODI' SNC</t>
  </si>
  <si>
    <t>OSTERIA MODI'</t>
  </si>
  <si>
    <t>VIA CAL DE MESSA</t>
  </si>
  <si>
    <t>PERUCCON FRANCA</t>
  </si>
  <si>
    <t>IN  PIAZZA PIZZERIA</t>
  </si>
  <si>
    <t>SERNAGLIA DELLA BATTAGLIA</t>
  </si>
  <si>
    <t>PIAZZA DEL POPOLO</t>
  </si>
  <si>
    <t>SILEA</t>
  </si>
  <si>
    <t>VIA SILE</t>
  </si>
  <si>
    <t>DETTO FATTO SNC</t>
  </si>
  <si>
    <t>CAFFE' LE BON</t>
  </si>
  <si>
    <t>FRATELLI G&amp;I SOLEVIC SNC</t>
  </si>
  <si>
    <t>COLONIAL INN</t>
  </si>
  <si>
    <t>VIA TREVISO</t>
  </si>
  <si>
    <t>HOSTERIA ALLA NUOVA PARIGI SNC</t>
  </si>
  <si>
    <t>HOSTERIA ALLA NUOVA PARIGI</t>
  </si>
  <si>
    <t>VIA CALLALTA</t>
  </si>
  <si>
    <t>IL CONCERTO DEI SAPORI SRL</t>
  </si>
  <si>
    <t>IL CONCERTO</t>
  </si>
  <si>
    <t>IVANO SAS</t>
  </si>
  <si>
    <t>LOFT RISTOPUB</t>
  </si>
  <si>
    <t>VIA BASSA TREVIGIANA</t>
  </si>
  <si>
    <t>EMISFERO SILEA</t>
  </si>
  <si>
    <t>VIA EROI DI PODRUTE</t>
  </si>
  <si>
    <t>AL MACCHIATONE SAS DI B.C.&amp;C.</t>
  </si>
  <si>
    <t>AL MACCHIATONE</t>
  </si>
  <si>
    <t>SPRESIANO</t>
  </si>
  <si>
    <t>VIA GIAMBATTISTA TIEPOLO</t>
  </si>
  <si>
    <t>CADAMURO MICHELA</t>
  </si>
  <si>
    <t>PIAZZA LUCIANO RIGO</t>
  </si>
  <si>
    <t>GREEN MARKET DI VERDE ANGELO</t>
  </si>
  <si>
    <t>LUDWIGS KRONE</t>
  </si>
  <si>
    <t>VIA UGO FOSCOLO</t>
  </si>
  <si>
    <t>INTROVIGNE CINZIA</t>
  </si>
  <si>
    <t>BORGONUOVO</t>
  </si>
  <si>
    <t>PIAZZETTA TREVISANI NEL MONDO</t>
  </si>
  <si>
    <t>TEGON ANNAMARIA</t>
  </si>
  <si>
    <t>ESSETI</t>
  </si>
  <si>
    <t>BORGOLUCE SOCIETA' AGRICOLA SS</t>
  </si>
  <si>
    <t>OSTERIA BORGOLUCE</t>
  </si>
  <si>
    <t>SUSEGANA</t>
  </si>
  <si>
    <t>VIA MORGANTE II</t>
  </si>
  <si>
    <t>LUNEDI    MARTEDI  TUTTO IL GIORNO</t>
  </si>
  <si>
    <t>C.R.M. S.A.S.</t>
  </si>
  <si>
    <t>CAFFE' GIARDINO</t>
  </si>
  <si>
    <t>DUNE BUGGY SNC</t>
  </si>
  <si>
    <t>PIAZZA MARTIRI DELLA LIBERTA'</t>
  </si>
  <si>
    <t>KUORE SPA</t>
  </si>
  <si>
    <t>PIZZIKOTTO CONEGLIANO</t>
  </si>
  <si>
    <t>VIA CONEGLIANO</t>
  </si>
  <si>
    <t>FAST FOOD / PANINOTECA</t>
  </si>
  <si>
    <t>NOBILI CONTADINI SRL</t>
  </si>
  <si>
    <t>ROYAL PARTY SAS</t>
  </si>
  <si>
    <t>ROYAL PARTY</t>
  </si>
  <si>
    <t>LA TAVOLA SRL</t>
  </si>
  <si>
    <t>LA TAVOLA</t>
  </si>
  <si>
    <t>TREVIGNANO</t>
  </si>
  <si>
    <t>MD DI MICAELA DONADEL</t>
  </si>
  <si>
    <t>LA BOTTEGA PIZZERIA</t>
  </si>
  <si>
    <t>PIAZZA DANTE ALIGHIERI</t>
  </si>
  <si>
    <t>MICHIELIN ANGELO</t>
  </si>
  <si>
    <t>LE GOURMET</t>
  </si>
  <si>
    <t>SUPERMERCATO ZANELLA SRLS</t>
  </si>
  <si>
    <t>ZANELLA</t>
  </si>
  <si>
    <t>AI DUE MONDI SNC</t>
  </si>
  <si>
    <t>AI DUE MONDI</t>
  </si>
  <si>
    <t>ALBERTINI ROBERTO</t>
  </si>
  <si>
    <t>CELTIC PUB</t>
  </si>
  <si>
    <t>ALGE SAS</t>
  </si>
  <si>
    <t>SANT'AGOSTINO</t>
  </si>
  <si>
    <t>VIA SANT'AGOSTINO</t>
  </si>
  <si>
    <t>ALL'ALPINO TRATT.SAS</t>
  </si>
  <si>
    <t>ALL'ALPINO</t>
  </si>
  <si>
    <t>STRADA DI SAN PELAIO</t>
  </si>
  <si>
    <t>ANTICA PIZZA SRL</t>
  </si>
  <si>
    <t>ANTICA PIZZA</t>
  </si>
  <si>
    <t>APPIANI TIME SNC</t>
  </si>
  <si>
    <t>APPIANI TIME</t>
  </si>
  <si>
    <t>PIAZZA DELLE ISTITUZIONI</t>
  </si>
  <si>
    <t>BORGO CAVALLI</t>
  </si>
  <si>
    <t>BAR AMICO SAS</t>
  </si>
  <si>
    <t>AMICO</t>
  </si>
  <si>
    <t>VIALE LUIGI LUZZATTI</t>
  </si>
  <si>
    <t>BERTO FLAVIO</t>
  </si>
  <si>
    <t>VIA MONTE SANTO</t>
  </si>
  <si>
    <t>STRADA DEL MOZZATO</t>
  </si>
  <si>
    <t>BIRELLO DIEGO</t>
  </si>
  <si>
    <t>CALICO'</t>
  </si>
  <si>
    <t>VIALE DELLA REPUBBLICA</t>
  </si>
  <si>
    <t>BOUTIQUE DEL GELATO SRL</t>
  </si>
  <si>
    <t>BOUTIQUE DEL GELATO</t>
  </si>
  <si>
    <t>VIALE GIAN GIACOMO FELISSENT</t>
  </si>
  <si>
    <t>BRESSAGLIA MORENO</t>
  </si>
  <si>
    <t>CAFFE'M ALLE ROSE</t>
  </si>
  <si>
    <t>VIALE BURCHIELLATI</t>
  </si>
  <si>
    <t>BUCCIOL ANGELO</t>
  </si>
  <si>
    <t>DA ANGELO</t>
  </si>
  <si>
    <t>VIA COLLALTO</t>
  </si>
  <si>
    <t>BUSATTO SRL</t>
  </si>
  <si>
    <t>BUSATTO</t>
  </si>
  <si>
    <t>VIA NOALESE</t>
  </si>
  <si>
    <t>CAFFETTERIA S.AGOSTINO SAS</t>
  </si>
  <si>
    <t>CAFFETTERIA SNCK BAR SNC</t>
  </si>
  <si>
    <t>CAFFETTERIA SNACK</t>
  </si>
  <si>
    <t>CAPPELLAZZO SERGIO</t>
  </si>
  <si>
    <t>APPIANI CAFFE'</t>
  </si>
  <si>
    <t>VIALE GRAZIANO APPIANI</t>
  </si>
  <si>
    <t>CASA DEL CAFFE' SNC</t>
  </si>
  <si>
    <t>CASA DEL CAFFE'</t>
  </si>
  <si>
    <t>CELOTTO ALESSANDRA</t>
  </si>
  <si>
    <t xml:space="preserve">RIALTO </t>
  </si>
  <si>
    <t>VIA DEI LOMBARDI</t>
  </si>
  <si>
    <t>CHEN XIAOTIAN</t>
  </si>
  <si>
    <t xml:space="preserve">BAR AL CAFFE' </t>
  </si>
  <si>
    <t>COFFE AND BREAK SNC</t>
  </si>
  <si>
    <t>COFFE AND BREAK</t>
  </si>
  <si>
    <t>VIA GENERALE ENRICO REGINATO</t>
  </si>
  <si>
    <t>VIA FRANCESCO DA MILANO</t>
  </si>
  <si>
    <t>DA PINO PIZZERIA</t>
  </si>
  <si>
    <t>DALL'ACQUA SERGIO</t>
  </si>
  <si>
    <t>COZZE A GOGO' DA SERGIO</t>
  </si>
  <si>
    <t>VIA INFERIORE</t>
  </si>
  <si>
    <t>DALLE CARBONARE GIANGIUSEPPE</t>
  </si>
  <si>
    <t>MAXI PIZZA</t>
  </si>
  <si>
    <t>PIAZZALE DUCA D'AOSTA</t>
  </si>
  <si>
    <t>DE GUSTO SAS</t>
  </si>
  <si>
    <t>DEGUSTO</t>
  </si>
  <si>
    <t>PIAZZA SILVIO TRENTIN</t>
  </si>
  <si>
    <t>LUNEDI  TUTTO IL GIORNO  DOMENICA  TUTTO IL GIORNO</t>
  </si>
  <si>
    <t>DE LONGHI SRL</t>
  </si>
  <si>
    <t>AL SOLITO POSTO</t>
  </si>
  <si>
    <t>STRADA FELTRINA</t>
  </si>
  <si>
    <t>DESIDERA' MORENO</t>
  </si>
  <si>
    <t>STIORE</t>
  </si>
  <si>
    <t>PIAZZALE PISTOIA</t>
  </si>
  <si>
    <t>DREAMS CAFE' DI ZANNINI DENIS</t>
  </si>
  <si>
    <t>DREAMS CAFE'</t>
  </si>
  <si>
    <t>VIA CACCIATORI DEL SILE</t>
  </si>
  <si>
    <t>EDIS &amp; ALE SNC</t>
  </si>
  <si>
    <t>GINGER ALE</t>
  </si>
  <si>
    <t>VIA LODOVICO FIUMICELLI</t>
  </si>
  <si>
    <t>EMME. B TREVISO E C. SNC</t>
  </si>
  <si>
    <t>VIA GHIRADA</t>
  </si>
  <si>
    <t>FAUSTA &amp; C. SNC</t>
  </si>
  <si>
    <t>PIZZERIA DA FAUSTA</t>
  </si>
  <si>
    <t>VIA PORTICO OSCURO</t>
  </si>
  <si>
    <t>FIERA SAS</t>
  </si>
  <si>
    <t>FIERA</t>
  </si>
  <si>
    <t>VIA POMPONIO AMALTEO</t>
  </si>
  <si>
    <t>FILODRAMMATICI SRL</t>
  </si>
  <si>
    <t>PIOLA BAR. PIZZ.</t>
  </si>
  <si>
    <t>FREAKTREVISO SRL</t>
  </si>
  <si>
    <t>FREAK</t>
  </si>
  <si>
    <t>GALLO LORENZO</t>
  </si>
  <si>
    <t>THE NEW CARPE DIAM</t>
  </si>
  <si>
    <t>VIA LE CANEVARE</t>
  </si>
  <si>
    <t>GEMEAZ ELIOR SPA</t>
  </si>
  <si>
    <t>MENSA TREVISO</t>
  </si>
  <si>
    <t>VIA ENRICO DANDOLO</t>
  </si>
  <si>
    <t>GIROTTO CATERINA</t>
  </si>
  <si>
    <t>SNACK BAR AL BORGO</t>
  </si>
  <si>
    <t>GREEN CAFFE DI ZHANG LI</t>
  </si>
  <si>
    <t>GREEN CAFFE</t>
  </si>
  <si>
    <t>VIA EUGENIO ROTA</t>
  </si>
  <si>
    <t>HESPERIA SRL</t>
  </si>
  <si>
    <t>HESPERIA</t>
  </si>
  <si>
    <t>PIAZZA FRANCESCO CRISPI</t>
  </si>
  <si>
    <t>HOME SRL</t>
  </si>
  <si>
    <t>HOME ROCK BAR</t>
  </si>
  <si>
    <t>VIA FONDERIA</t>
  </si>
  <si>
    <t>I DEI SOCIETA' COOP.</t>
  </si>
  <si>
    <t>TUTTA UN'ALTRA ASTORIA</t>
  </si>
  <si>
    <t>PIAZZA DELLA VITTORIA</t>
  </si>
  <si>
    <t>INFINITO SAS</t>
  </si>
  <si>
    <t>MAGNA &amp; TASI</t>
  </si>
  <si>
    <t>KAPE SAS</t>
  </si>
  <si>
    <t>APPIANI DUE</t>
  </si>
  <si>
    <t>VIA DANIELE MONTERUMICI</t>
  </si>
  <si>
    <t>KOFLER</t>
  </si>
  <si>
    <t>LA GIOCONDA/PADALINO</t>
  </si>
  <si>
    <t>LA GIOCONDA</t>
  </si>
  <si>
    <t>VIALE FRA' GIOCONDO</t>
  </si>
  <si>
    <t>LUIGI DANESIN SAS</t>
  </si>
  <si>
    <t>DANESIN</t>
  </si>
  <si>
    <t>MADAMA SAS</t>
  </si>
  <si>
    <t>JUST EASY CAFE'</t>
  </si>
  <si>
    <t>PIAZZETTA DELLA TORRE</t>
  </si>
  <si>
    <t>MARCHESIN GIOVANNI</t>
  </si>
  <si>
    <t>TAVERNETTA BUTTERFLY</t>
  </si>
  <si>
    <t>MARCHI MARZIA</t>
  </si>
  <si>
    <t>HAPPY DAYS CAFE'</t>
  </si>
  <si>
    <t>MEZZA PINTA SRL</t>
  </si>
  <si>
    <t>MEZZA PINTA</t>
  </si>
  <si>
    <t>MILANI ORLANDO</t>
  </si>
  <si>
    <t>ANTICO PALLONE</t>
  </si>
  <si>
    <t>VICOLO RIALTO</t>
  </si>
  <si>
    <t>NASCIMBEN ANTONELLA</t>
  </si>
  <si>
    <t>P &amp; G. SNC DI GEMIN MICHELE &amp;C</t>
  </si>
  <si>
    <t>SALE E ZUCCHERO</t>
  </si>
  <si>
    <t>CAFFETTERIA DERSUT</t>
  </si>
  <si>
    <t>PAVANELLO SANDRA</t>
  </si>
  <si>
    <t>CHICCO PERLA</t>
  </si>
  <si>
    <t>PELIZARI SAMARA TAMIRES</t>
  </si>
  <si>
    <t>FUORI MURA</t>
  </si>
  <si>
    <t>VIA BIBANO</t>
  </si>
  <si>
    <t>PENZO AIELLO SNC</t>
  </si>
  <si>
    <t>FILO'</t>
  </si>
  <si>
    <t>VIALE LUIGI CADORNA</t>
  </si>
  <si>
    <t>PICK A BOO SNC</t>
  </si>
  <si>
    <t>MILLE MIGLIA</t>
  </si>
  <si>
    <t>PIZZERIA DA CARLA</t>
  </si>
  <si>
    <t>DA CARLA</t>
  </si>
  <si>
    <t>PORZIO SRL</t>
  </si>
  <si>
    <t>CAPRESE</t>
  </si>
  <si>
    <t>PIAZZA DELL'UNIVERSITA'</t>
  </si>
  <si>
    <t>REMATELLI ROMEO</t>
  </si>
  <si>
    <t>CORTE SAN FRANCESCO</t>
  </si>
  <si>
    <t>RISTORANTE AL MERCATO SNC</t>
  </si>
  <si>
    <t>VIA MERCATO ORTOFRUTTICOLO</t>
  </si>
  <si>
    <t>RIZZOLO LILIANA</t>
  </si>
  <si>
    <t>BAR VIALE</t>
  </si>
  <si>
    <t>ROSSETTO MARIA</t>
  </si>
  <si>
    <t>HOSTERIA ALL'ORO</t>
  </si>
  <si>
    <t>VIA DEI DALL'ORO</t>
  </si>
  <si>
    <t>SEVERIN DIEGO</t>
  </si>
  <si>
    <t>NASTY BOYS SALOON</t>
  </si>
  <si>
    <t>VIA MARCO PELLICCIAIO</t>
  </si>
  <si>
    <t>S.G.R.  TREVISO SRL</t>
  </si>
  <si>
    <t>S.G.R. TREVISO</t>
  </si>
  <si>
    <t>VIALE IV NOVEMBRE</t>
  </si>
  <si>
    <t>VIALE MONFENERA</t>
  </si>
  <si>
    <t>LA MUSA LOUNGE RISTOBAR</t>
  </si>
  <si>
    <t>SIMAR S.A.S.</t>
  </si>
  <si>
    <t>CAFFE' MANIN</t>
  </si>
  <si>
    <t>TRAL SRL</t>
  </si>
  <si>
    <t>LA FINESTRA</t>
  </si>
  <si>
    <t>TRANSDOLCE SNC</t>
  </si>
  <si>
    <t>TRENTA 11 SRL</t>
  </si>
  <si>
    <t>FABBRICA DI PEDAVENA TREVISO</t>
  </si>
  <si>
    <t>VIA DELLA QUERCIA</t>
  </si>
  <si>
    <t>TRENTINAGLIA MIRELLA</t>
  </si>
  <si>
    <t>DA ROBERTO</t>
  </si>
  <si>
    <t>TREPI' SRL</t>
  </si>
  <si>
    <t>ZUSHI</t>
  </si>
  <si>
    <t>VIALE FRATELLI CAIROLI</t>
  </si>
  <si>
    <t>UNDICESIMO VINERIA SRL</t>
  </si>
  <si>
    <t>VINERIA</t>
  </si>
  <si>
    <t>FAMILA TREVISO</t>
  </si>
  <si>
    <t>VIA SANT'ANTONINO</t>
  </si>
  <si>
    <t>MEGA TREVISO</t>
  </si>
  <si>
    <t>VECCHIA GALLIANO SAS</t>
  </si>
  <si>
    <t>VECCHIA GALLIANO</t>
  </si>
  <si>
    <t>ZERO422 SRL</t>
  </si>
  <si>
    <t>ZERO422</t>
  </si>
  <si>
    <t>ZEUS PIZZA DA LAURA SRL</t>
  </si>
  <si>
    <t>ZEUS IN</t>
  </si>
  <si>
    <t>VIA AVOGARI</t>
  </si>
  <si>
    <t>ZUSSA DANIELA</t>
  </si>
  <si>
    <t>OSTERIA RADICCHIO ROSSO</t>
  </si>
  <si>
    <t>VIA TOLPADA</t>
  </si>
  <si>
    <t>3 NANI SAS</t>
  </si>
  <si>
    <t>HOSTARIA DAI NANETI</t>
  </si>
  <si>
    <t>VICOLO BROLI</t>
  </si>
  <si>
    <t>VALDOBBIADENE</t>
  </si>
  <si>
    <t>RISTEMA</t>
  </si>
  <si>
    <t>VAZZOLA</t>
  </si>
  <si>
    <t>VIA MORETTO</t>
  </si>
  <si>
    <t>VILLA DIRCE SRL</t>
  </si>
  <si>
    <t>VILLA DIRCE</t>
  </si>
  <si>
    <t>BORGO MALANOTTE</t>
  </si>
  <si>
    <t>MARTEDI  TUTTO IL GIORNO  DOMENICA  TUTTO IL GIORNO</t>
  </si>
  <si>
    <t>ANFANC &amp; C. SNC</t>
  </si>
  <si>
    <t>ALL'OCA BIANCA PIZZ.</t>
  </si>
  <si>
    <t>VEDELAGO</t>
  </si>
  <si>
    <t>VIA PAPA SARTO</t>
  </si>
  <si>
    <t>BAR AL PORTICALE SNC</t>
  </si>
  <si>
    <t>AL PORTICALE</t>
  </si>
  <si>
    <t>PIAZZA GENERALE CAVIGLIA</t>
  </si>
  <si>
    <t>CECCHETTO ALESSANDRA</t>
  </si>
  <si>
    <t>ANTICA PESA</t>
  </si>
  <si>
    <t>DOLCE SPRITZ DI LIN YUANJIN</t>
  </si>
  <si>
    <t>DOLCE SPRITZ</t>
  </si>
  <si>
    <t>VIA UNIONE</t>
  </si>
  <si>
    <t>MANFRE' DINO</t>
  </si>
  <si>
    <t>MANFRE'</t>
  </si>
  <si>
    <t>SMANIA FLAVIO</t>
  </si>
  <si>
    <t>LA CUCINA DEL PALLADIO</t>
  </si>
  <si>
    <t>SNACK BAR L.V. SNC</t>
  </si>
  <si>
    <t>SQUIZZATO IVANA</t>
  </si>
  <si>
    <t>TAMURE'</t>
  </si>
  <si>
    <t>VIA FRANCESCO CRISPI</t>
  </si>
  <si>
    <t>TRATTORIA DA LUISA SAS</t>
  </si>
  <si>
    <t>DA LUISA</t>
  </si>
  <si>
    <t>VIA MONSIGNORE LORENZO CRICO</t>
  </si>
  <si>
    <t>ABITI LUCIANO</t>
  </si>
  <si>
    <t>AL CAFFE'</t>
  </si>
  <si>
    <t>VILLORBA</t>
  </si>
  <si>
    <t>ALL'AMICIZIA S.N.C.</t>
  </si>
  <si>
    <t>ALL'AMICIZIA</t>
  </si>
  <si>
    <t>ALLE CASTRETTE SAS</t>
  </si>
  <si>
    <t>ALLE CASTRETTE</t>
  </si>
  <si>
    <t>BARDIN VALERIA</t>
  </si>
  <si>
    <t>ENOTECA E CUCINA CARMENERE</t>
  </si>
  <si>
    <t>BOLOGNA CRISTINA</t>
  </si>
  <si>
    <t>DA QUEI GRULLI</t>
  </si>
  <si>
    <t>VIA ALESSANDRO VOLTA</t>
  </si>
  <si>
    <t>DE VECCHI MICHELE</t>
  </si>
  <si>
    <t>AL MORER</t>
  </si>
  <si>
    <t>VIA FONTANE</t>
  </si>
  <si>
    <t>DI MARCO STEFANO</t>
  </si>
  <si>
    <t>L'ANGOLO DI BIANCA</t>
  </si>
  <si>
    <t>VIA CAMPAGNOLA</t>
  </si>
  <si>
    <t>LUNEDI    MARTEDI</t>
  </si>
  <si>
    <t>GREEN MARKET</t>
  </si>
  <si>
    <t>CAFFE' VERGNANO 1882</t>
  </si>
  <si>
    <t>VIA DELLA CARTIERA</t>
  </si>
  <si>
    <t>HOLIDAYS PUB SNC</t>
  </si>
  <si>
    <t>SAGARI VIDEO PUB</t>
  </si>
  <si>
    <t>LA STAZIONE SAS</t>
  </si>
  <si>
    <t>LA STAZIONE</t>
  </si>
  <si>
    <t>MARSURA ANDREA</t>
  </si>
  <si>
    <t>SANT'ARTEMIO</t>
  </si>
  <si>
    <t>VIA GIAN GIACOMO FELISSENT</t>
  </si>
  <si>
    <t>DOMENICA    LUNEDI  POMERIGGIO</t>
  </si>
  <si>
    <t>POSSAMAI SONIA</t>
  </si>
  <si>
    <t>ELISIR</t>
  </si>
  <si>
    <t>LARGO MOLINO</t>
  </si>
  <si>
    <t>SARA ZAMBON</t>
  </si>
  <si>
    <t>MISCATENA</t>
  </si>
  <si>
    <t>VIA DELLE GRAVE</t>
  </si>
  <si>
    <t>TAGLIENTE ANTONELLA</t>
  </si>
  <si>
    <t>KENNEDY</t>
  </si>
  <si>
    <t>FAMILA VILLORBA</t>
  </si>
  <si>
    <t>B &amp; G SAS</t>
  </si>
  <si>
    <t>MARGHERITA PIZZERIA</t>
  </si>
  <si>
    <t>VITTORIO VENETO</t>
  </si>
  <si>
    <t>VIA GIOSUE' CARDUCCI</t>
  </si>
  <si>
    <t>COMPASS GROUP SPA</t>
  </si>
  <si>
    <t>MENSA AZ. ENEL</t>
  </si>
  <si>
    <t>VIA DEL BORGO BOTTEON</t>
  </si>
  <si>
    <t>CUZZOLINO E DE LUCA</t>
  </si>
  <si>
    <t>PIZZERIA SAN REMO</t>
  </si>
  <si>
    <t>VIA GIULIO PASTORE</t>
  </si>
  <si>
    <t>GENNARO 2000 &amp; C. SNC</t>
  </si>
  <si>
    <t>GENNARO 2000 PIZZ.</t>
  </si>
  <si>
    <t>VIALE VITTORIO EMANUELE II</t>
  </si>
  <si>
    <t>LA RUSTICA SRL</t>
  </si>
  <si>
    <t>ANTICA VITTORIO</t>
  </si>
  <si>
    <t>LARGO DI PORTA CADORE</t>
  </si>
  <si>
    <t>LUX SNC</t>
  </si>
  <si>
    <t>LUX</t>
  </si>
  <si>
    <t>VIALE DELLA VITTORIA</t>
  </si>
  <si>
    <t>MANSI GIUSEPPE</t>
  </si>
  <si>
    <t>VIALE DANTE ALIGHIERI</t>
  </si>
  <si>
    <t>RISTORANTE DA CARLO SAS</t>
  </si>
  <si>
    <t>DA CARLO</t>
  </si>
  <si>
    <t>PIAZZA FIUME</t>
  </si>
  <si>
    <t>VIA ENRICO MATTEI</t>
  </si>
  <si>
    <t>VIALE GIROLAMO CELANTE</t>
  </si>
  <si>
    <t>EMISFERO VITTORIO VENETO</t>
  </si>
  <si>
    <t>VIALE GIACOMO MATTEOTTI</t>
  </si>
  <si>
    <t>BAVARESCO SAS</t>
  </si>
  <si>
    <t>SUPER CRAI</t>
  </si>
  <si>
    <t>VOLPAGO DEL MONTELLO</t>
  </si>
  <si>
    <t>DS RESTAURANT SNC</t>
  </si>
  <si>
    <t>L'AMMIRAGLIO</t>
  </si>
  <si>
    <t>VIA SCHIAVONESCA NUOVA</t>
  </si>
  <si>
    <t>FANTASY SNC</t>
  </si>
  <si>
    <t>VIA CERVADA</t>
  </si>
  <si>
    <t>FRUIT MONTELLO SRL</t>
  </si>
  <si>
    <t>FRUIT</t>
  </si>
  <si>
    <t>NIERO MARCO</t>
  </si>
  <si>
    <t>DA FASIOL</t>
  </si>
  <si>
    <t>SPATARO VINCENZO</t>
  </si>
  <si>
    <t>BAR SPORT DI SPATARO VINCENZO</t>
  </si>
  <si>
    <t>PIAZZA ERCOLE BOTTANI</t>
  </si>
  <si>
    <t>BAR ELISA DI IRIMIA DANIELA EL</t>
  </si>
  <si>
    <t>BAR ELISA</t>
  </si>
  <si>
    <t>ZERO BRANCO</t>
  </si>
  <si>
    <t>CAFFE' COMMERCIO SNC</t>
  </si>
  <si>
    <t>HAPPY HOUR SAS</t>
  </si>
  <si>
    <t>HAPPY HOUR</t>
  </si>
  <si>
    <t>BARICENTRO</t>
  </si>
  <si>
    <t>VIA ALBERA</t>
  </si>
  <si>
    <t>VERONA</t>
  </si>
  <si>
    <t>GESTIONI MAI SRL</t>
  </si>
  <si>
    <t>GESTIONI MAI</t>
  </si>
  <si>
    <t>VR</t>
  </si>
  <si>
    <t>AFFI</t>
  </si>
  <si>
    <t>TAVOLA CALDA / TAVOLA FREDDA</t>
  </si>
  <si>
    <t>LOCALITA' CANOVE</t>
  </si>
  <si>
    <t>ALEX SRL</t>
  </si>
  <si>
    <t>L'OLMO PIZZERIA</t>
  </si>
  <si>
    <t>ARCOLE</t>
  </si>
  <si>
    <t>VIA PADOVANA</t>
  </si>
  <si>
    <t>A.M. FOOD SRL</t>
  </si>
  <si>
    <t>FUCINA LUNCH &amp; DINNER</t>
  </si>
  <si>
    <t>BUSSOLENGO</t>
  </si>
  <si>
    <t>PIAZZALE VITTORIO VENETO</t>
  </si>
  <si>
    <t>STRADA REGIONALE 11 PADANA SUPERIORE</t>
  </si>
  <si>
    <t>LOCALITA' FERLINA</t>
  </si>
  <si>
    <t>MAXIMA SPA</t>
  </si>
  <si>
    <t>X CAFE</t>
  </si>
  <si>
    <t>VIA DEL LAVORO</t>
  </si>
  <si>
    <t>NEW ORDER S.R.L.</t>
  </si>
  <si>
    <t>WALLE'S BURGER</t>
  </si>
  <si>
    <t>ROMA ALBERGO RISTOR.</t>
  </si>
  <si>
    <t>SUPERMERCATI MARTINELLI SRL</t>
  </si>
  <si>
    <t>MARTINELLI</t>
  </si>
  <si>
    <t>VIA VERONA</t>
  </si>
  <si>
    <t>PASINATO ZENO</t>
  </si>
  <si>
    <t>DA PASINATO</t>
  </si>
  <si>
    <t>BUTTAPIETRA</t>
  </si>
  <si>
    <t>VIA PROVINCIALE OVEST</t>
  </si>
  <si>
    <t>SUPERMERCATI GRISI SRL</t>
  </si>
  <si>
    <t>GRISI</t>
  </si>
  <si>
    <t>CALDIERO</t>
  </si>
  <si>
    <t>ALLE QUERCE SAS</t>
  </si>
  <si>
    <t>CAPRINO VERONESE</t>
  </si>
  <si>
    <t>LOCALITA' CEREDELLO DI SOPRA</t>
  </si>
  <si>
    <t>CEBO SNC</t>
  </si>
  <si>
    <t>ATHENA PIZZERIA</t>
  </si>
  <si>
    <t>IL POSTO SRLS</t>
  </si>
  <si>
    <t>AL VENTAGLIO</t>
  </si>
  <si>
    <t>CASTEL D'AZZANO</t>
  </si>
  <si>
    <t>VIA PIETRO MASCAGNI</t>
  </si>
  <si>
    <t>MG DI PERINELLI FABIO &amp; C SNC</t>
  </si>
  <si>
    <t>ALBERGO AL SOLE</t>
  </si>
  <si>
    <t>CASTELNUOVO DEL GARDA</t>
  </si>
  <si>
    <t>VIA GENERALE ZAMBONI</t>
  </si>
  <si>
    <t>HERMES SRL</t>
  </si>
  <si>
    <t>GARDA EST</t>
  </si>
  <si>
    <t>CAVAION VERONESE</t>
  </si>
  <si>
    <t>AUTOSTRADA DEL BRENNERO</t>
  </si>
  <si>
    <t>SALVETTI FRANCESCO</t>
  </si>
  <si>
    <t>LA LANTERNA</t>
  </si>
  <si>
    <t>GARDA</t>
  </si>
  <si>
    <t>VIA TORRENTE GUSA</t>
  </si>
  <si>
    <t>BROTHERS SNC</t>
  </si>
  <si>
    <t>BAR THE BROTHERS</t>
  </si>
  <si>
    <t>GREZZANA</t>
  </si>
  <si>
    <t>VIALE OLIMPIA</t>
  </si>
  <si>
    <t>FRAC SRL</t>
  </si>
  <si>
    <t>SUPERMERCATO MIGROSS</t>
  </si>
  <si>
    <t>VIA PREALPI</t>
  </si>
  <si>
    <t>GIRASOLE SAS</t>
  </si>
  <si>
    <t>GIRASOLE</t>
  </si>
  <si>
    <t>A.D. DI AQUILOTTO DOMENICO</t>
  </si>
  <si>
    <t>RISTORANTE PIZZERIA 2 LAGHI</t>
  </si>
  <si>
    <t>LAZISE</t>
  </si>
  <si>
    <t>VIA VEGRI</t>
  </si>
  <si>
    <t>AMERICA GRAFFITI SRL</t>
  </si>
  <si>
    <t>AMERICA GRAFFITI</t>
  </si>
  <si>
    <t>LEGNAGO</t>
  </si>
  <si>
    <t>VIA LUCIANO LAMA</t>
  </si>
  <si>
    <t>VIA FERRARI ENZO</t>
  </si>
  <si>
    <t>IL GIRASOLE</t>
  </si>
  <si>
    <t>ZONA INDUSTRIALE SAN PIETRO</t>
  </si>
  <si>
    <t>DREAM SNC</t>
  </si>
  <si>
    <t>DREAM  PIZZERIA</t>
  </si>
  <si>
    <t>PIAZZA DELLA LIBERTA'</t>
  </si>
  <si>
    <t>IL PASTAIO SNC</t>
  </si>
  <si>
    <t>IL PASTAIO</t>
  </si>
  <si>
    <t>VIA DISCIPLINA</t>
  </si>
  <si>
    <t>VIA LUIGI EINAUDI</t>
  </si>
  <si>
    <t>OSPEDALE LEGNAGO INT ULSS 21</t>
  </si>
  <si>
    <t>VIA CARLO GIANELLA</t>
  </si>
  <si>
    <t>TRATTORIA SALIERI SRLS</t>
  </si>
  <si>
    <t>SALIERI</t>
  </si>
  <si>
    <t>MOZZECANE</t>
  </si>
  <si>
    <t>TOSATO PIETROLEDIO</t>
  </si>
  <si>
    <t>L'ITALIANO</t>
  </si>
  <si>
    <t>NOGARA</t>
  </si>
  <si>
    <t>VIA MOLINO DI SOPRA</t>
  </si>
  <si>
    <t>POVEGLIANO OVEST</t>
  </si>
  <si>
    <t>NOGAROLE ROCCA</t>
  </si>
  <si>
    <t>AUTOSTRADA DEL BRENNERO OVEST</t>
  </si>
  <si>
    <t>MENEGHELLI SAS</t>
  </si>
  <si>
    <t>VIA ARENA</t>
  </si>
  <si>
    <t>PESCANTINA</t>
  </si>
  <si>
    <t>VIA CASE SPARSE</t>
  </si>
  <si>
    <t>SETTIMO CIELO SRL</t>
  </si>
  <si>
    <t>SETTIMO CIELO</t>
  </si>
  <si>
    <t>VIA ENRICO BERNARDI</t>
  </si>
  <si>
    <t>PESCHIERA DEL GARDA</t>
  </si>
  <si>
    <t>VIA TANGENZIALE</t>
  </si>
  <si>
    <t>VIA FRASSINO</t>
  </si>
  <si>
    <t>VIA BELL'ITALIA</t>
  </si>
  <si>
    <t>SAN BONIFACIO</t>
  </si>
  <si>
    <t>VIA SORTE</t>
  </si>
  <si>
    <t>BAR EUROPA SNC</t>
  </si>
  <si>
    <t>MATINE' CAFE'</t>
  </si>
  <si>
    <t>VIALE NOGAROLE</t>
  </si>
  <si>
    <t>FRF S.R.L.</t>
  </si>
  <si>
    <t>IL RISTOCAFE' SRLS</t>
  </si>
  <si>
    <t>IL RISTOCAFE'</t>
  </si>
  <si>
    <t>VIALE DELLE FONTANELLE</t>
  </si>
  <si>
    <t>ZANINI CLAUDIO</t>
  </si>
  <si>
    <t>TRATTORIA BAR ZANINI</t>
  </si>
  <si>
    <t>VIA PROVA</t>
  </si>
  <si>
    <t>SAN GIOVANNI LUPATOTO</t>
  </si>
  <si>
    <t>VIA CA' NOVA ZAMPIERI</t>
  </si>
  <si>
    <t>DOUBLE TWO SRL</t>
  </si>
  <si>
    <t>PIZZA HOUSE PADELLA ALLA BRACE</t>
  </si>
  <si>
    <t>OPERA SRL</t>
  </si>
  <si>
    <t>OPERA PIZZERIA</t>
  </si>
  <si>
    <t>VIA MONTE CRISTALLO</t>
  </si>
  <si>
    <t>VIA MADONNINA</t>
  </si>
  <si>
    <t>SAN MARTINO BUON ALBERGO</t>
  </si>
  <si>
    <t>VIA GUAINA</t>
  </si>
  <si>
    <t>I MUSI LUNGI</t>
  </si>
  <si>
    <t>VIA DEL COMMERCIO</t>
  </si>
  <si>
    <t>PIZZERIA</t>
  </si>
  <si>
    <t>PUNTO RISTORAZIONE</t>
  </si>
  <si>
    <t>IPER VERONA</t>
  </si>
  <si>
    <t>RISTO'</t>
  </si>
  <si>
    <t>SA.MA. FRUTTA SRL</t>
  </si>
  <si>
    <t>SA.MA. FRUTTA ALIM.</t>
  </si>
  <si>
    <t>SAN PIETRO IN CARIANO</t>
  </si>
  <si>
    <t>VIA CA' BRUSA'</t>
  </si>
  <si>
    <t>STRADA STATALE DEL BRENNERO</t>
  </si>
  <si>
    <t>GRAPPOLO D'ORO SRL</t>
  </si>
  <si>
    <t>GRAPPOLO D'ORO</t>
  </si>
  <si>
    <t>SANT'AMBROGIO DI VALPOLICELLA</t>
  </si>
  <si>
    <t>VICOLO PIGNA</t>
  </si>
  <si>
    <t>OSTERIA DAL CONTE</t>
  </si>
  <si>
    <t>BAR DAL CONTE</t>
  </si>
  <si>
    <t>SUPERMERCATO PERFETTO SNC</t>
  </si>
  <si>
    <t>SIGMA</t>
  </si>
  <si>
    <t>SOAVE</t>
  </si>
  <si>
    <t>PUNTO GRILL SERVICES SRL</t>
  </si>
  <si>
    <t>HOSTARIA DA VALERIO</t>
  </si>
  <si>
    <t>SOMMACAMPAGNA</t>
  </si>
  <si>
    <t>LOCALITA' CASELLE</t>
  </si>
  <si>
    <t>RENAN SRL</t>
  </si>
  <si>
    <t>IL GIGLIO PIZZERIA</t>
  </si>
  <si>
    <t xml:space="preserve">SERVICE CENTER CATULLO </t>
  </si>
  <si>
    <t>DB HOTEL VERONA</t>
  </si>
  <si>
    <t>VIA AEROPORTO VALERIO CATULLO</t>
  </si>
  <si>
    <t>SABATO    DOMENICA  POMERIGGIO</t>
  </si>
  <si>
    <t>SIMPATI BAR SNC</t>
  </si>
  <si>
    <t>IL CAVOLO A MERENDA</t>
  </si>
  <si>
    <t>MERCOLEDI    DOMENICA</t>
  </si>
  <si>
    <t>PIZZA</t>
  </si>
  <si>
    <t>SONA</t>
  </si>
  <si>
    <t>VIA TRENTINO</t>
  </si>
  <si>
    <t>BAR</t>
  </si>
  <si>
    <t>SPIZZICO</t>
  </si>
  <si>
    <t>PLAYCENTER SRL</t>
  </si>
  <si>
    <t>PLAYCENTER</t>
  </si>
  <si>
    <t>VIA BETLEMME</t>
  </si>
  <si>
    <t>IPERMERCATO ROSSETTO</t>
  </si>
  <si>
    <t>TREGNAGO</t>
  </si>
  <si>
    <t>PIAZZA MERCATO</t>
  </si>
  <si>
    <t>VIA CARLO CIPOLLA</t>
  </si>
  <si>
    <t>SUPER A &amp; O</t>
  </si>
  <si>
    <t>TREVENZUOLO</t>
  </si>
  <si>
    <t>VALEGGIO SUL MINCIO</t>
  </si>
  <si>
    <t>VIA DEI PARTIGIANI</t>
  </si>
  <si>
    <t>TRAVERSI GESSICA</t>
  </si>
  <si>
    <t>SCALIGERO</t>
  </si>
  <si>
    <t>VIA CIRCONVALLAZIONE SUD</t>
  </si>
  <si>
    <t>A. &amp; C. SAS</t>
  </si>
  <si>
    <t>ART&amp;CHOCOLATE</t>
  </si>
  <si>
    <t>VICOLO CAVALLETTO</t>
  </si>
  <si>
    <t>A.G.E.C.</t>
  </si>
  <si>
    <t>C/O PALAZZO BARBIERI</t>
  </si>
  <si>
    <t>PIAZZA BRA'</t>
  </si>
  <si>
    <t>ALBRIGI ALESSANDRO</t>
  </si>
  <si>
    <t>EUROBAR</t>
  </si>
  <si>
    <t>VIA DOLOMITI</t>
  </si>
  <si>
    <t>ALEXANDER SNC</t>
  </si>
  <si>
    <t>ALEXANDER</t>
  </si>
  <si>
    <t>VIA ANTONIO LOCATELLI</t>
  </si>
  <si>
    <t>ANDREANI LAURA</t>
  </si>
  <si>
    <t>BAR DEI MONTECCHI</t>
  </si>
  <si>
    <t>VIA DEL PONTIERE</t>
  </si>
  <si>
    <t>VIA GOLINO</t>
  </si>
  <si>
    <t>VR ADIGEO</t>
  </si>
  <si>
    <t>VIALE DELLE NAZIONI</t>
  </si>
  <si>
    <t>ATLANTIC SRL</t>
  </si>
  <si>
    <t>CAFFETTERIA ATLANTIC</t>
  </si>
  <si>
    <t>SPIZZICO STAZIONE VERONA P.N.</t>
  </si>
  <si>
    <t>PIAZZALE XXV APRILE</t>
  </si>
  <si>
    <t>BAR ADIGE SNC</t>
  </si>
  <si>
    <t>BAR ADIGE</t>
  </si>
  <si>
    <t>BAZZANI RICCARDO</t>
  </si>
  <si>
    <t>LUNA ROSSA</t>
  </si>
  <si>
    <t>VIA SANTA TERESA</t>
  </si>
  <si>
    <t>BERTOLI NICOLETTA</t>
  </si>
  <si>
    <t>LA PIRUETA</t>
  </si>
  <si>
    <t>LARGO CARLO CALDERA</t>
  </si>
  <si>
    <t>BIGHELLI DAVIDE</t>
  </si>
  <si>
    <t>DALLA BRUNA</t>
  </si>
  <si>
    <t>VIA GOFFREDO MAMELI</t>
  </si>
  <si>
    <t>BOVO ALBERTO</t>
  </si>
  <si>
    <t>LE CARCERI</t>
  </si>
  <si>
    <t>BULGARELLI MARCO</t>
  </si>
  <si>
    <t>SKIPPER</t>
  </si>
  <si>
    <t>STRADONE PORTA PALIO</t>
  </si>
  <si>
    <t xml:space="preserve">CAFASSO ALDO </t>
  </si>
  <si>
    <t xml:space="preserve">DA LIVIO </t>
  </si>
  <si>
    <t>VIA CHIODA</t>
  </si>
  <si>
    <t>CAFFE' DEL CENTRO SNC</t>
  </si>
  <si>
    <t>CAFFE' DEL CENTRO</t>
  </si>
  <si>
    <t>VIA BELFIORE</t>
  </si>
  <si>
    <t>CAFFE DEL CORSO</t>
  </si>
  <si>
    <t xml:space="preserve">CAFE DEL CORSO </t>
  </si>
  <si>
    <t>CORSO PORTA NUOVA</t>
  </si>
  <si>
    <t>CAFFE' SCALA SRL</t>
  </si>
  <si>
    <t>CAFFE' SCALA</t>
  </si>
  <si>
    <t>VIA SCALA</t>
  </si>
  <si>
    <t>CAIANIELLO LUCA</t>
  </si>
  <si>
    <t>GIBERTI CAFFE'</t>
  </si>
  <si>
    <t>VIA GIAN MATTEO GIBERTI</t>
  </si>
  <si>
    <t>CAMON SNC</t>
  </si>
  <si>
    <t>ACI CAFFE'</t>
  </si>
  <si>
    <t>VIA DELLA VALVERDE</t>
  </si>
  <si>
    <t>CASA DEL PANE SNC</t>
  </si>
  <si>
    <t>CASA DEL PANE DE ROSSI</t>
  </si>
  <si>
    <t>VIA ALBERE</t>
  </si>
  <si>
    <t>CERUTI ALAN</t>
  </si>
  <si>
    <t>VECCHIA LATTERIA MODIGLIANI</t>
  </si>
  <si>
    <t>CORSO CONTE CAMILLO BENSO DI CAVOUR</t>
  </si>
  <si>
    <t>LUNEDI  TUTTO IL GIORNO  SABATO  TUTTO IL GIORNO</t>
  </si>
  <si>
    <t>BREK</t>
  </si>
  <si>
    <t>VIA SAN GIOVANNI LUPATOTO</t>
  </si>
  <si>
    <t>UNICREDIT</t>
  </si>
  <si>
    <t>VIA MONTE BIANCO</t>
  </si>
  <si>
    <t>CISAMOLO PAOLO</t>
  </si>
  <si>
    <t>CISAMOLO GASTRONOMIA</t>
  </si>
  <si>
    <t>VIA VILLA COZZA</t>
  </si>
  <si>
    <t>CLASSIC SAS DI PIZZA&amp;CAFE'SRL</t>
  </si>
  <si>
    <t>CLASSIC</t>
  </si>
  <si>
    <t>PIAZZA RENATO SIMONI</t>
  </si>
  <si>
    <t>COCCOLE GOURMET SRL</t>
  </si>
  <si>
    <t>COCCOLE GOURMET</t>
  </si>
  <si>
    <t>VIA DEL PERLAR</t>
  </si>
  <si>
    <t>COFFEE BREAK SNC</t>
  </si>
  <si>
    <t>COFFEE BREAK</t>
  </si>
  <si>
    <t>COMINI KATIA</t>
  </si>
  <si>
    <t>S.NICOLO'</t>
  </si>
  <si>
    <t>VIA SAN NICOLO'</t>
  </si>
  <si>
    <t>COMMERCIALE NOGARESE SRL</t>
  </si>
  <si>
    <t>LA GENUINA</t>
  </si>
  <si>
    <t>COMUNE DI VERONA</t>
  </si>
  <si>
    <t>CONSORZIO CO.GE.ME</t>
  </si>
  <si>
    <t>CO.GE.ME.</t>
  </si>
  <si>
    <t>CORNER BAR SAS</t>
  </si>
  <si>
    <t>CORNER</t>
  </si>
  <si>
    <t>VIA FRANCIA</t>
  </si>
  <si>
    <t>VIA URBANO III</t>
  </si>
  <si>
    <t>DALLA MOSTACCIONA SNC</t>
  </si>
  <si>
    <t>MOSTACCIONA</t>
  </si>
  <si>
    <t>DE SANTIS PAOLO</t>
  </si>
  <si>
    <t>DE SANTIS</t>
  </si>
  <si>
    <t>LA BOTTEGA DEL CAFFE'</t>
  </si>
  <si>
    <t>EFFEGI SNC</t>
  </si>
  <si>
    <t>CAFFE' PALLADIO</t>
  </si>
  <si>
    <t>EL DIA SRL</t>
  </si>
  <si>
    <t>NEW CENTRAL BAR</t>
  </si>
  <si>
    <t>ELVANA RESULI</t>
  </si>
  <si>
    <t>CAFFE' 21.097 KM</t>
  </si>
  <si>
    <t>EMY CAFE' DI BOVI NADIA</t>
  </si>
  <si>
    <t>WINE</t>
  </si>
  <si>
    <t>PIAZZA SAN NICOLO'</t>
  </si>
  <si>
    <t>ESAGO SAS</t>
  </si>
  <si>
    <t>AI GLICINI</t>
  </si>
  <si>
    <t>VIA CENTRO</t>
  </si>
  <si>
    <t>ESPOSITO SNC</t>
  </si>
  <si>
    <t>MAMELI</t>
  </si>
  <si>
    <t>FALANGA F.CIRO &amp; C. SNC</t>
  </si>
  <si>
    <t>LUCIO II</t>
  </si>
  <si>
    <t>FC RETAIL SPA</t>
  </si>
  <si>
    <t>RED</t>
  </si>
  <si>
    <t>VIALE DELL'AGRICOLTURA</t>
  </si>
  <si>
    <t>FLORAVEG S.R.L.</t>
  </si>
  <si>
    <t>FLORA EAT DIFFERENT</t>
  </si>
  <si>
    <t>STRADONE SCIPIONE MAFFEI</t>
  </si>
  <si>
    <t>FOOD ELEMENTS S.R.L.</t>
  </si>
  <si>
    <t>DON PEPPE</t>
  </si>
  <si>
    <t>FRANCESCO GUERRA GENTILE</t>
  </si>
  <si>
    <t>LA NUOVA PESA</t>
  </si>
  <si>
    <t>VIA POIANO</t>
  </si>
  <si>
    <t>GARISTO SAS</t>
  </si>
  <si>
    <t>PANTAREI VINO CAFFE</t>
  </si>
  <si>
    <t>VIA FLORESTE MALFER</t>
  </si>
  <si>
    <t>GASTRONOMIA DI VIA STELLA SAS</t>
  </si>
  <si>
    <t>GASTRONOMIA DI VIA STELLA</t>
  </si>
  <si>
    <t>VIA STELLA</t>
  </si>
  <si>
    <t>MENSA VERONA PV</t>
  </si>
  <si>
    <t>CORSO VENEZIA</t>
  </si>
  <si>
    <t>MENSA VERONA DL</t>
  </si>
  <si>
    <t>VIA DELLA CHIESA</t>
  </si>
  <si>
    <t>FS VERONA PORTA NUOVA</t>
  </si>
  <si>
    <t>GIRELLI VINCENZO</t>
  </si>
  <si>
    <t>GIRELLI</t>
  </si>
  <si>
    <t>VIA FORTE TOMBA</t>
  </si>
  <si>
    <t>GLOBAL CENTER SRLS</t>
  </si>
  <si>
    <t>EUROPA BAR - INTERPORTO VERONA</t>
  </si>
  <si>
    <t>VIA SOMMACAMPAGNA</t>
  </si>
  <si>
    <t>GROTTA AZZURRA SNC</t>
  </si>
  <si>
    <t>GROTTA AZZURRA</t>
  </si>
  <si>
    <t>LARGO PERLAR</t>
  </si>
  <si>
    <t>IL CAFFE' SOSPESO SAS</t>
  </si>
  <si>
    <t>IL CAFFE' SOSPESO</t>
  </si>
  <si>
    <t>PIAZZA NIKOLAJEWKA</t>
  </si>
  <si>
    <t>LA BARACCA SNC</t>
  </si>
  <si>
    <t>LA BARACCA</t>
  </si>
  <si>
    <t>VIA ALBERTO DOMINUTTI</t>
  </si>
  <si>
    <t>LA RINASCITA DI BRUNO SRL</t>
  </si>
  <si>
    <t>FASHION CAFE'</t>
  </si>
  <si>
    <t>VIA UGO ZANNONI</t>
  </si>
  <si>
    <t>MARKAS SRL</t>
  </si>
  <si>
    <t>MENSA SAN FRANCESCO</t>
  </si>
  <si>
    <t>VIALE UNIVERSITA'</t>
  </si>
  <si>
    <t>RISTOBRA</t>
  </si>
  <si>
    <t>VIA PALLONE</t>
  </si>
  <si>
    <t>MAXI DI SRL</t>
  </si>
  <si>
    <t>FAMILA</t>
  </si>
  <si>
    <t>VIA LEGNAGO</t>
  </si>
  <si>
    <t>MILANI ALESSIO &amp; C. SAS</t>
  </si>
  <si>
    <t>TRATTORIA DA FIORE</t>
  </si>
  <si>
    <t>VIA ROVEGGIA</t>
  </si>
  <si>
    <t>MOZART CAFFE' DI CIPRIANI DENI</t>
  </si>
  <si>
    <t>MOZART CAFFE'</t>
  </si>
  <si>
    <t>VIA DEI MUTILATI</t>
  </si>
  <si>
    <t>NEW FOOD SAS</t>
  </si>
  <si>
    <t>FILU' PIZZERIA</t>
  </si>
  <si>
    <t>NYX SAS DI AMIGHINI ANDREA &amp; C</t>
  </si>
  <si>
    <t>AMIGHINI CAFE' DEPENDANCE</t>
  </si>
  <si>
    <t>VIA LEONE PANCALDO</t>
  </si>
  <si>
    <t>DOMENICA  TUTTO IL GIORNO  DOMENICA  TUTTO IL GIORNO</t>
  </si>
  <si>
    <t>O.B.H. SNC</t>
  </si>
  <si>
    <t>LA RUOTA</t>
  </si>
  <si>
    <t>VIA DELL'ARTIGLIERE</t>
  </si>
  <si>
    <t>OFFICINA DEI SAPORI VR SRL</t>
  </si>
  <si>
    <t>OFFICINA DEL GUSTO</t>
  </si>
  <si>
    <t xml:space="preserve">DA GIOVANNI </t>
  </si>
  <si>
    <t>PICCOLI CINZIA</t>
  </si>
  <si>
    <t>CINQUE STELLE</t>
  </si>
  <si>
    <t>PIZZERIA DELLE NAZIONI SNC</t>
  </si>
  <si>
    <t>DELLE NAZIONI PIZZ.</t>
  </si>
  <si>
    <t>CIRCONVALLAZIONE ALFREDO ORIANI</t>
  </si>
  <si>
    <t>PRIMO KILOMETRO SNC</t>
  </si>
  <si>
    <t>PRIMO KILOMETRO</t>
  </si>
  <si>
    <t>ROMEI CRISTIAN</t>
  </si>
  <si>
    <t>L'INSALATERIA</t>
  </si>
  <si>
    <t>VIA DEI MONTECCHI</t>
  </si>
  <si>
    <t>VIA MONTI LESSINI</t>
  </si>
  <si>
    <t>STRADA PER ARBIZZANO</t>
  </si>
  <si>
    <t>VIA GRACCO SPAZIANI</t>
  </si>
  <si>
    <t>RUGGIERO ROBERTO</t>
  </si>
  <si>
    <t>RUGGIERO</t>
  </si>
  <si>
    <t>SANTI PAOLO</t>
  </si>
  <si>
    <t>BISTRO SANTI</t>
  </si>
  <si>
    <t>SCAPIN SRL</t>
  </si>
  <si>
    <t xml:space="preserve">GASTRONOMIA SCAPIN </t>
  </si>
  <si>
    <t>SIGNORINI CLAUDIO E ANNA SNC</t>
  </si>
  <si>
    <t>SIE' BORGHI</t>
  </si>
  <si>
    <t>VIA PAOLO CALIARI</t>
  </si>
  <si>
    <t>SISAL SPA</t>
  </si>
  <si>
    <t>MATCH POINT VERONA</t>
  </si>
  <si>
    <t>S.I.T.A. SPA</t>
  </si>
  <si>
    <t>BAULI</t>
  </si>
  <si>
    <t>SONA CLAUDIO</t>
  </si>
  <si>
    <t>URBAN CAFE'</t>
  </si>
  <si>
    <t>VIA ALBERTO MARIO</t>
  </si>
  <si>
    <t>SUMMER BAR SAS</t>
  </si>
  <si>
    <t>SUMMER BAR</t>
  </si>
  <si>
    <t>SUPERMERCATI ARBETTI SRL</t>
  </si>
  <si>
    <t>EUROSPIN</t>
  </si>
  <si>
    <t>VIA EUGENIO CURIEL</t>
  </si>
  <si>
    <t>SUPERMERCATI SANTI SRL</t>
  </si>
  <si>
    <t>VICOLO FOSSETTO</t>
  </si>
  <si>
    <t>VIA ANTONIO PISANO</t>
  </si>
  <si>
    <t>THE GODIS BROTHERS</t>
  </si>
  <si>
    <t>GREEN POINT</t>
  </si>
  <si>
    <t>VIA TOMBETTA</t>
  </si>
  <si>
    <t>TOAIARI STEFANO</t>
  </si>
  <si>
    <t>BREAK MATINAL</t>
  </si>
  <si>
    <t>VIALE DEL COMMERCIO</t>
  </si>
  <si>
    <t>TRATTORIAPIZZERIABAR FELICESAS</t>
  </si>
  <si>
    <t xml:space="preserve">BAR PIZZERIA DA FELICE </t>
  </si>
  <si>
    <t>VIA CANTARANE</t>
  </si>
  <si>
    <t>TRIFOGLIO SNC</t>
  </si>
  <si>
    <t>AL BRACERE</t>
  </si>
  <si>
    <t>VIA ADIGETTO</t>
  </si>
  <si>
    <t>LA TRADISION</t>
  </si>
  <si>
    <t>VIA GUGLIELMO OBERDAN</t>
  </si>
  <si>
    <t>VICTORIA SAS</t>
  </si>
  <si>
    <t>SAN MATTEO CHURCH</t>
  </si>
  <si>
    <t>VICOLO SAN MATTEO</t>
  </si>
  <si>
    <t>ZAFFIRO SAS</t>
  </si>
  <si>
    <t>ZAFFIRO</t>
  </si>
  <si>
    <t>VIA OTTAVIO CACCIA</t>
  </si>
  <si>
    <t>ZANETTI ANNALISA</t>
  </si>
  <si>
    <t>VIALE ANDREA PALLADIO</t>
  </si>
  <si>
    <t>SABATO  POMERIGGIO  DOMENICA  POMERIGGIO</t>
  </si>
  <si>
    <t>ZANOLLI PIERLUIGI</t>
  </si>
  <si>
    <t>ARETE'</t>
  </si>
  <si>
    <t>ZHOU JIALIA</t>
  </si>
  <si>
    <t>CIBO E CAFFE' LA TERRA</t>
  </si>
  <si>
    <t>VIA REDIPUGLIA</t>
  </si>
  <si>
    <t>ZHOU LIZHI</t>
  </si>
  <si>
    <t>GOCCIA D'ORO</t>
  </si>
  <si>
    <t>STRADA LA RIZZA</t>
  </si>
  <si>
    <t>5 A DI ALDIGHIERI E. &amp; C. SNC</t>
  </si>
  <si>
    <t>L'INCROCIO DEL GUSTO</t>
  </si>
  <si>
    <t>VIGASIO</t>
  </si>
  <si>
    <t>VIA NOGAROLE ROCCA</t>
  </si>
  <si>
    <t>CIGNUS SNC</t>
  </si>
  <si>
    <t>TRE CORONE</t>
  </si>
  <si>
    <t>VILLAFRANCA DI VERONA</t>
  </si>
  <si>
    <t>EGS WELCOME SRL</t>
  </si>
  <si>
    <t>LA PIAZZA</t>
  </si>
  <si>
    <t>IL PIZZO NERO SNC</t>
  </si>
  <si>
    <t>IL PIZZO NERO</t>
  </si>
  <si>
    <t>VIALE POSTUMIA</t>
  </si>
  <si>
    <t>MARTINELLI GIAN PAOLO</t>
  </si>
  <si>
    <t>VIA BORGO BELLO</t>
  </si>
  <si>
    <t>PAOLO SAS</t>
  </si>
  <si>
    <t>PAOLO PIZZA E CUCINA</t>
  </si>
  <si>
    <t>VIA NINO BIXIO</t>
  </si>
  <si>
    <t>VIA DON ADAMO FUMANO</t>
  </si>
  <si>
    <t>ZANINELLI MIRKO</t>
  </si>
  <si>
    <t>GASTRONOMIA 52</t>
  </si>
  <si>
    <t>L'ALTRO CARLO RE SAS</t>
  </si>
  <si>
    <t>L'ALTRO CARLO RE PIZZ.</t>
  </si>
  <si>
    <t>ZEVIO</t>
  </si>
  <si>
    <t>VIA TIRO A SEGNO</t>
  </si>
  <si>
    <t>NUOVA PIZZERIA MARCONI SAS</t>
  </si>
  <si>
    <t>NUOVA PIZZERIA MARCONI</t>
  </si>
  <si>
    <t>VIA TRE PONTI</t>
  </si>
  <si>
    <t>TRE CHITARRE SNC</t>
  </si>
  <si>
    <t>3 CHITARRE</t>
  </si>
  <si>
    <t>VIA MOTTONE</t>
  </si>
  <si>
    <t>BOTTAN ALBERTO</t>
  </si>
  <si>
    <t>L'ECCCEZIONALE</t>
  </si>
  <si>
    <t>VE</t>
  </si>
  <si>
    <t>ANNONE VENETO</t>
  </si>
  <si>
    <t>VIA FOSSON</t>
  </si>
  <si>
    <t>ORCHIDEA S.N.C</t>
  </si>
  <si>
    <t>ORCHIDEA</t>
  </si>
  <si>
    <t>FAMILA CAMPAGNA LUPIA</t>
  </si>
  <si>
    <t>CAMPAGNA LUPIA</t>
  </si>
  <si>
    <t>CAMPOLONGO MAGGIORE</t>
  </si>
  <si>
    <t>ZONA ARTIGIANALE I STRADA</t>
  </si>
  <si>
    <t>QUARTIERE COPERNICO</t>
  </si>
  <si>
    <t>SUPERMERCATO GOBBI SNC</t>
  </si>
  <si>
    <t>SUPERMERCATO GOBBI</t>
  </si>
  <si>
    <t>CAMPONOGARA</t>
  </si>
  <si>
    <t>IL VECCHIO CORSARO SNC</t>
  </si>
  <si>
    <t>IL VECCHIO CORSARO</t>
  </si>
  <si>
    <t>SAN MARCO SNC</t>
  </si>
  <si>
    <t>SAN MARCO</t>
  </si>
  <si>
    <t>PIAZZA SALVO D'ACQUISTO</t>
  </si>
  <si>
    <t>AI GABBIANI SAS</t>
  </si>
  <si>
    <t>AI GABBIANI</t>
  </si>
  <si>
    <t>CAORLE</t>
  </si>
  <si>
    <t>STRADA BRUSSA</t>
  </si>
  <si>
    <t>BENATELLI EMANUEL</t>
  </si>
  <si>
    <t>PFEIFE</t>
  </si>
  <si>
    <t>VIA ISONZO</t>
  </si>
  <si>
    <t>CAPPELLOZZA ALESSANDRA</t>
  </si>
  <si>
    <t>GOOD CAFE'</t>
  </si>
  <si>
    <t>VIALE SANTA MARGHERITA</t>
  </si>
  <si>
    <t>DA TITUTA RISTORANTE</t>
  </si>
  <si>
    <t>DA TITUTA</t>
  </si>
  <si>
    <t>VIALE PANAMA</t>
  </si>
  <si>
    <t>MARTEDI  TUTTO IL GIORNO  LUNEDI  POMERIGGIO</t>
  </si>
  <si>
    <t>DE BORTOLI DAMIANO</t>
  </si>
  <si>
    <t>MALAGA</t>
  </si>
  <si>
    <t>GUSSO MARIA LUISA</t>
  </si>
  <si>
    <t>VENUS</t>
  </si>
  <si>
    <t>CORSO CHIGGIATO</t>
  </si>
  <si>
    <t>IOP MICHELE</t>
  </si>
  <si>
    <t>DA FURIA</t>
  </si>
  <si>
    <t>TAVERNA CAORLINA SNC</t>
  </si>
  <si>
    <t>TAVERNA CAORLINA</t>
  </si>
  <si>
    <t>VIA FRANCESCONI</t>
  </si>
  <si>
    <t>FAMILA CAORLE</t>
  </si>
  <si>
    <t>STRADA TRAGHETE</t>
  </si>
  <si>
    <t>BERTON LUISA &amp; C.</t>
  </si>
  <si>
    <t>COMMERCIO</t>
  </si>
  <si>
    <t>CAVALLINO-TREPORTI</t>
  </si>
  <si>
    <t>VIA CONCORDIA</t>
  </si>
  <si>
    <t>FGR SNC</t>
  </si>
  <si>
    <t>TRATTORIA BELVEDERE</t>
  </si>
  <si>
    <t>LUNGOMARE SAN FELICE</t>
  </si>
  <si>
    <t>PIZZ.MONACO DI BALLARIN RINO</t>
  </si>
  <si>
    <t>RISTORANTE PIZZERIA MONACO</t>
  </si>
  <si>
    <t>VIA FAUSTA</t>
  </si>
  <si>
    <t>PUNTA GIALLA SRL</t>
  </si>
  <si>
    <t>PUNTA GIALLA</t>
  </si>
  <si>
    <t>VIA TREPORTINA</t>
  </si>
  <si>
    <t>QUADRIFOGLIO SRL</t>
  </si>
  <si>
    <t>LA RONDINE</t>
  </si>
  <si>
    <t>CAVARZERE</t>
  </si>
  <si>
    <t>DE GRANDIS ADRIANO</t>
  </si>
  <si>
    <t>IL PESCATORE</t>
  </si>
  <si>
    <t>VIA PESCHERIA</t>
  </si>
  <si>
    <t>IN VILLA SRL</t>
  </si>
  <si>
    <t>VILLA MOMI'S</t>
  </si>
  <si>
    <t>LOCALITA' SANTA MARIA</t>
  </si>
  <si>
    <t>PAIOA PIZZERIA SNC</t>
  </si>
  <si>
    <t>PAIOA PIZZERIA</t>
  </si>
  <si>
    <t>FAMILA CAVARZERE</t>
  </si>
  <si>
    <t>AL GRANSO STANCO SAS</t>
  </si>
  <si>
    <t>GRANSO STANCO</t>
  </si>
  <si>
    <t>CHIOGGIA</t>
  </si>
  <si>
    <t>LUNGOMARE ADRIATICO</t>
  </si>
  <si>
    <t>ANTICO TORO SNC</t>
  </si>
  <si>
    <t>ANTICO TORO</t>
  </si>
  <si>
    <t>VIALE MEDITERRANEO</t>
  </si>
  <si>
    <t>EUROSPAR CHIOGGIA</t>
  </si>
  <si>
    <t>VIA DON GIOVANNI MINZONI</t>
  </si>
  <si>
    <t>AURORA SAS</t>
  </si>
  <si>
    <t>AURORA ALBERGO</t>
  </si>
  <si>
    <t>STRADA MADONNA MARINA</t>
  </si>
  <si>
    <t>MARTEDI  MATTINO</t>
  </si>
  <si>
    <t>BAGNI LIDO DI PADOVA SRL</t>
  </si>
  <si>
    <t>TOMATO BY CLODIA</t>
  </si>
  <si>
    <t>BOSCOLO BOZZA ERICA</t>
  </si>
  <si>
    <t>ONDA AZZURRA</t>
  </si>
  <si>
    <t>VIALE AMERIGO VESPUCCI</t>
  </si>
  <si>
    <t>BOSCOLO CEGION LORIS</t>
  </si>
  <si>
    <t>TIFFANY PIZZ.</t>
  </si>
  <si>
    <t>VIALE UMBRIA</t>
  </si>
  <si>
    <t>BOSCOLO CONTADIN ANTONIO</t>
  </si>
  <si>
    <t>BOSCOLO CONTADIN ANTORIO</t>
  </si>
  <si>
    <t>FONDAMENTA RIVA VENA</t>
  </si>
  <si>
    <t>BOSCOLO LOREDANA</t>
  </si>
  <si>
    <t>LA LEPRE ALBERGO</t>
  </si>
  <si>
    <t>BRUSTOLINA SNC</t>
  </si>
  <si>
    <t>BRUSTOLINA</t>
  </si>
  <si>
    <t>VIA BRONDOLO</t>
  </si>
  <si>
    <t>COMPANY SAS</t>
  </si>
  <si>
    <t>TRE LEONI</t>
  </si>
  <si>
    <t>VIALE IONIO</t>
  </si>
  <si>
    <t>STRADA STATALE ROMEA</t>
  </si>
  <si>
    <t>IN COOP CHIOGGIA CORSO</t>
  </si>
  <si>
    <t>DA RE ALESSANDRO</t>
  </si>
  <si>
    <t>BORGO SAN GIOVANNI</t>
  </si>
  <si>
    <t>FIORINDO VALERIO</t>
  </si>
  <si>
    <t>FIORINDO</t>
  </si>
  <si>
    <t>PIAZZA NATIVITA'</t>
  </si>
  <si>
    <t>GRUPPO CHIO SNC</t>
  </si>
  <si>
    <t>LA BOTTEGA SIMPLY</t>
  </si>
  <si>
    <t>GURIN MARINA</t>
  </si>
  <si>
    <t>VIVO MIO</t>
  </si>
  <si>
    <t>CAFFE' DIEMME</t>
  </si>
  <si>
    <t>MANCIN SIMONE</t>
  </si>
  <si>
    <t>LANTERNA BLU</t>
  </si>
  <si>
    <t>LOCALITA' ISOLA SALONI</t>
  </si>
  <si>
    <t>MANO AMICA SAS</t>
  </si>
  <si>
    <t>MANO AMICA</t>
  </si>
  <si>
    <t>PIAZZETTA VIGO</t>
  </si>
  <si>
    <t xml:space="preserve">MARZOLA STEFANO E C. SNC </t>
  </si>
  <si>
    <t>VIA PADRE EMILIO VENTURINI</t>
  </si>
  <si>
    <t>MOLIN ALIMENTARI SNC</t>
  </si>
  <si>
    <t>MOLIN</t>
  </si>
  <si>
    <t>PARK SRL</t>
  </si>
  <si>
    <t>PARK PIZZERIA</t>
  </si>
  <si>
    <t>PIZZA NEW SNC</t>
  </si>
  <si>
    <t>EL PASHA</t>
  </si>
  <si>
    <t>VIALE CRISTOFORO COLOMBO</t>
  </si>
  <si>
    <t>PIZZA PIU' SNC</t>
  </si>
  <si>
    <t>PIZZA PIU'</t>
  </si>
  <si>
    <t>MY AUCHAN</t>
  </si>
  <si>
    <t>STRADA SAN MARCO</t>
  </si>
  <si>
    <t>TOFFANIN EMANUELA</t>
  </si>
  <si>
    <t>AL SALONE</t>
  </si>
  <si>
    <t>VA-FRA ALIM. SAS</t>
  </si>
  <si>
    <t>VA-FRA</t>
  </si>
  <si>
    <t>VIA PEGORINA</t>
  </si>
  <si>
    <t>ZATTONI MARCO</t>
  </si>
  <si>
    <t>ZATTA</t>
  </si>
  <si>
    <t>VIALE DELLA STAZIONE</t>
  </si>
  <si>
    <t>CONCORDIA SAGITTARIA</t>
  </si>
  <si>
    <t>VIA OTTONE III</t>
  </si>
  <si>
    <t>VIA FORNASATTA</t>
  </si>
  <si>
    <t>DA FANIO SAS</t>
  </si>
  <si>
    <t>DA FANIO</t>
  </si>
  <si>
    <t>ART GROUP SRL</t>
  </si>
  <si>
    <t>PIZZ'ART</t>
  </si>
  <si>
    <t>DOLO</t>
  </si>
  <si>
    <t>VIA DEL VASO</t>
  </si>
  <si>
    <t>COMODECA F. &amp; C. SNC</t>
  </si>
  <si>
    <t>ALLA TAVERNA PIZZERIA</t>
  </si>
  <si>
    <t>PIAZZA MUNICIPIO</t>
  </si>
  <si>
    <t>DA LELE S.A.S. BAR</t>
  </si>
  <si>
    <t>DA LELE</t>
  </si>
  <si>
    <t>ZABEO MASSIMO</t>
  </si>
  <si>
    <t>DA MASSIMO ROSTICCERIA</t>
  </si>
  <si>
    <t>VIA CANTIERE</t>
  </si>
  <si>
    <t>BALDISSIN GIOVANNI &amp; C SNC</t>
  </si>
  <si>
    <t>TRATTORIA DA MIMMO</t>
  </si>
  <si>
    <t>ERACLEA</t>
  </si>
  <si>
    <t>VIA MONTEGRAPPA</t>
  </si>
  <si>
    <t>OASI SNC</t>
  </si>
  <si>
    <t>LA CUCINA DI MICHELE</t>
  </si>
  <si>
    <t>SUPERMERCATO ERACLEA SNC</t>
  </si>
  <si>
    <t>CONAD SUPERMERCATO ERACLEA</t>
  </si>
  <si>
    <t>VIA CARLO GOLDONI</t>
  </si>
  <si>
    <t>FIESSO D'ARTICO</t>
  </si>
  <si>
    <t>VIA VINCENZO BELLINI</t>
  </si>
  <si>
    <t>CASTELLO SNC</t>
  </si>
  <si>
    <t>FOSSALTA DI PORTOGRUARO</t>
  </si>
  <si>
    <t>PIAZZA IPPOLITO NIEVO</t>
  </si>
  <si>
    <t>DELLE VEDOVE GRETA</t>
  </si>
  <si>
    <t>INGROSSO &amp; CO S.R.L.S.</t>
  </si>
  <si>
    <t>BISTROT 1877 "AL CENTRALE"</t>
  </si>
  <si>
    <t>PIAZZA RISORGIMENTO</t>
  </si>
  <si>
    <t>MALACHIN MARIKA</t>
  </si>
  <si>
    <t>TIFFANY CAFFE'</t>
  </si>
  <si>
    <t>PILOSIO ROBERTO</t>
  </si>
  <si>
    <t>VEGA CAFFE'</t>
  </si>
  <si>
    <t>VIALE JOHN FITZGERALD KENNEDY</t>
  </si>
  <si>
    <t>ROSETTA SNC</t>
  </si>
  <si>
    <t>ROSETTA</t>
  </si>
  <si>
    <t>VIA NICOLO' BETTONI</t>
  </si>
  <si>
    <t>LUNEDI  POMERIGGIO  DOMENICA  POMERIGGIO</t>
  </si>
  <si>
    <t>RISTORANTE ALEXANDER SNC</t>
  </si>
  <si>
    <t>ALEXANDER PIZZ.</t>
  </si>
  <si>
    <t>FOSSO'</t>
  </si>
  <si>
    <t>VIA CASTELLARO</t>
  </si>
  <si>
    <t>MARTEDI  POMERIGGIO  DOMENICA  MATTINO</t>
  </si>
  <si>
    <t>RONNY'S BAR SAS</t>
  </si>
  <si>
    <t>RONNY'S</t>
  </si>
  <si>
    <t>VIA PROVINCIALE NORD</t>
  </si>
  <si>
    <t>WINNER SRL</t>
  </si>
  <si>
    <t>WINNER</t>
  </si>
  <si>
    <t>GRUARO</t>
  </si>
  <si>
    <t>BRONSE CUERTE SRLS</t>
  </si>
  <si>
    <t>BRONSE CUERTE</t>
  </si>
  <si>
    <t>JESOLO</t>
  </si>
  <si>
    <t>VIA ROMA DESTRA</t>
  </si>
  <si>
    <t>CIBIN KATIA</t>
  </si>
  <si>
    <t>BAR BUS</t>
  </si>
  <si>
    <t>VIA EQUILIO</t>
  </si>
  <si>
    <t>CLASSE '64 SNC</t>
  </si>
  <si>
    <t>VIA ARTURO TOSCANINI</t>
  </si>
  <si>
    <t>VIA REGHENA</t>
  </si>
  <si>
    <t>FURFARO ERNESTO</t>
  </si>
  <si>
    <t>RICA ROCA PIZZERIA</t>
  </si>
  <si>
    <t>VIA OLANDA</t>
  </si>
  <si>
    <t>JE.CO. SRL</t>
  </si>
  <si>
    <t>AL REVES</t>
  </si>
  <si>
    <t>VIA ANDREA BAFILE</t>
  </si>
  <si>
    <t>VIALE DEL MARINAIO</t>
  </si>
  <si>
    <t>MITA SAS</t>
  </si>
  <si>
    <t>FUORI ORARIO CAFFE'</t>
  </si>
  <si>
    <t>RIDENTE SAS</t>
  </si>
  <si>
    <t>LA RIDENTE BAR</t>
  </si>
  <si>
    <t>RISCA SAS</t>
  </si>
  <si>
    <t>ABBAZIA</t>
  </si>
  <si>
    <t>BURGER KING LIDO DI JESOLO</t>
  </si>
  <si>
    <t>PIAZZA LUIGI TENCO</t>
  </si>
  <si>
    <t>SNACK BAR MARTIN SAS</t>
  </si>
  <si>
    <t>SNACK BAR MARTIN</t>
  </si>
  <si>
    <t>FAMILA JESOLO</t>
  </si>
  <si>
    <t>VIA MONSIGNOR GIOVANNI MARCATO</t>
  </si>
  <si>
    <t>A40 SRL</t>
  </si>
  <si>
    <t>TINVOGLIA</t>
  </si>
  <si>
    <t>MARCON</t>
  </si>
  <si>
    <t>VIALE SAN MARCO</t>
  </si>
  <si>
    <t>BAR LIGHT SAS</t>
  </si>
  <si>
    <t>LIGHT</t>
  </si>
  <si>
    <t>CANCIAN GRAZIANO</t>
  </si>
  <si>
    <t>PIACERI CARNALI</t>
  </si>
  <si>
    <t>VIA PORTA EST</t>
  </si>
  <si>
    <t>CIMMY SRL UNIPERSONALE</t>
  </si>
  <si>
    <t>CIBIAMO</t>
  </si>
  <si>
    <t>D.M.C. SNC</t>
  </si>
  <si>
    <t>TIRAMISU' PIZZERIA</t>
  </si>
  <si>
    <t>DOMUS PINSA NORD SNC</t>
  </si>
  <si>
    <t>DELUXE BISTROT ET LOUNGE</t>
  </si>
  <si>
    <t>HAPPY PIZZA SNC</t>
  </si>
  <si>
    <t>HAPPY PIZZA</t>
  </si>
  <si>
    <t>KIDULT CAFFE' SNC</t>
  </si>
  <si>
    <t>KIDULT</t>
  </si>
  <si>
    <t>VIA ALTA</t>
  </si>
  <si>
    <t>LA DOLCE VITA SNC</t>
  </si>
  <si>
    <t>VIA PIALOI</t>
  </si>
  <si>
    <t>LIBRALATO LUISA</t>
  </si>
  <si>
    <t>MINIMARKET MARCON</t>
  </si>
  <si>
    <t>MARS SRL</t>
  </si>
  <si>
    <t>PUMMARELLA</t>
  </si>
  <si>
    <t>PIZZA HOUSE CAFE' SAS</t>
  </si>
  <si>
    <t>AL CHICKEN</t>
  </si>
  <si>
    <t>PIAZZA I MAGGIO</t>
  </si>
  <si>
    <t>POTENTE GIAMPAOLO</t>
  </si>
  <si>
    <t>TUTTO DI' MARKET</t>
  </si>
  <si>
    <t>DOMENICA    MERCOLEDI  POMERIGGIO</t>
  </si>
  <si>
    <t>RANGER SRL</t>
  </si>
  <si>
    <t>CARREFOUR MARCON</t>
  </si>
  <si>
    <t>SUSHITECA ZEN SNC</t>
  </si>
  <si>
    <t>SUSHITECA ZEN</t>
  </si>
  <si>
    <t>TEK SNC</t>
  </si>
  <si>
    <t>SECONDO STADIO</t>
  </si>
  <si>
    <t>VOGLIA DI SFIZIO SAS</t>
  </si>
  <si>
    <t>VOGLIA DI SFIZIO</t>
  </si>
  <si>
    <t>ALMA SRL</t>
  </si>
  <si>
    <t>MAXI SUPERMERCATO</t>
  </si>
  <si>
    <t>MARTELLAGO</t>
  </si>
  <si>
    <t>VIA FRANCESCO FAPANNI</t>
  </si>
  <si>
    <t>NACCARI MICHELA</t>
  </si>
  <si>
    <t>RIALTO PIZZERIA</t>
  </si>
  <si>
    <t>PER-GOLA SNC</t>
  </si>
  <si>
    <t>PER-GOLA</t>
  </si>
  <si>
    <t>ZANZO CLARA E C. SAS</t>
  </si>
  <si>
    <t>EL BON BON</t>
  </si>
  <si>
    <t>AMADIO DANILO</t>
  </si>
  <si>
    <t>EL GREJO</t>
  </si>
  <si>
    <t>MEOLO</t>
  </si>
  <si>
    <t>VIA PIO X</t>
  </si>
  <si>
    <t>DEFLO SNC</t>
  </si>
  <si>
    <t>ROITER</t>
  </si>
  <si>
    <t>VIA SAN FILIPPO</t>
  </si>
  <si>
    <t>SABATO  MATTINO  LUNEDI  POMERIGGIO</t>
  </si>
  <si>
    <t>PONTE DEI CARRI</t>
  </si>
  <si>
    <t>TREVISAN RENZO</t>
  </si>
  <si>
    <t>COMMERCIO BAR PIZZ.</t>
  </si>
  <si>
    <t>PIAZZETTA CESARE BATTISTI</t>
  </si>
  <si>
    <t>AL CERCHIO ARMONIA SNC</t>
  </si>
  <si>
    <t>AL CERCHIO</t>
  </si>
  <si>
    <t>MIRA</t>
  </si>
  <si>
    <t>VIA MARE MEDITERRANEO</t>
  </si>
  <si>
    <t>BOTTIN ADRIANO</t>
  </si>
  <si>
    <t>DA ADRIANO</t>
  </si>
  <si>
    <t>STRADA STATALE 309 ROMEA</t>
  </si>
  <si>
    <t>DEA QUATTRO SAS</t>
  </si>
  <si>
    <t>VIA ENRICO TOTI</t>
  </si>
  <si>
    <t>G. &amp; B. SAS</t>
  </si>
  <si>
    <t>LA PERLA ROSA</t>
  </si>
  <si>
    <t>VIA PAPA GIOVANNI XXIII</t>
  </si>
  <si>
    <t>GIA.VI. SRL</t>
  </si>
  <si>
    <t>LA LOCANDA DEI GHIOTTONI</t>
  </si>
  <si>
    <t>VIA GHEBBA</t>
  </si>
  <si>
    <t>ONGARATO SILVIO</t>
  </si>
  <si>
    <t>ONGARATO</t>
  </si>
  <si>
    <t>VIA STAZIONE DI ORIAGO</t>
  </si>
  <si>
    <t>RAMPIN GIUSEPPE</t>
  </si>
  <si>
    <t>ALLA TENDA ROSSA</t>
  </si>
  <si>
    <t>VIA ANTONIO GRAMSCI</t>
  </si>
  <si>
    <t>RANIERI VITO</t>
  </si>
  <si>
    <t>AL PONTE PIZZERIA</t>
  </si>
  <si>
    <t>RIZZI MASSIMO</t>
  </si>
  <si>
    <t>VIA PALLADA</t>
  </si>
  <si>
    <t>SCARPAROLO CHIARA MARIA</t>
  </si>
  <si>
    <t>CA' ROMEA PIZZERIA</t>
  </si>
  <si>
    <t>AGNELUTTO MIRKA</t>
  </si>
  <si>
    <t>CUCINA DA MIRKA</t>
  </si>
  <si>
    <t>MIRANO</t>
  </si>
  <si>
    <t>VIA CALTANA</t>
  </si>
  <si>
    <t>BISBUCC PUB SRL UNIPERSONALE</t>
  </si>
  <si>
    <t>VIA MIRANESE</t>
  </si>
  <si>
    <t>DE BORTOLI MANUELE</t>
  </si>
  <si>
    <t>GOODTIME CAFE'</t>
  </si>
  <si>
    <t>DRUGO ROCK PUB SNC</t>
  </si>
  <si>
    <t>DRUGO ROCK PUB</t>
  </si>
  <si>
    <t>GLI AMICI DI ROBERTO SAS</t>
  </si>
  <si>
    <t>PIZZA FLASH</t>
  </si>
  <si>
    <t>LIBRALESSO PAOLO</t>
  </si>
  <si>
    <t>OLIMPIA BAR</t>
  </si>
  <si>
    <t>VIA LUIGI MARIUTTO</t>
  </si>
  <si>
    <t>PRANDIN ORNELLA</t>
  </si>
  <si>
    <t>RIVER PUB</t>
  </si>
  <si>
    <t xml:space="preserve">SEP MIRANO SRL </t>
  </si>
  <si>
    <t>TRILER SRL</t>
  </si>
  <si>
    <t>VIA CAVIN DI SALA</t>
  </si>
  <si>
    <t>EMISFERO MIRANO</t>
  </si>
  <si>
    <t>MUSILE DI PIAVE</t>
  </si>
  <si>
    <t>VIA TRIESTINA</t>
  </si>
  <si>
    <t>PROXYMA SAS</t>
  </si>
  <si>
    <t>DA PRIO</t>
  </si>
  <si>
    <t>TRATTORIA ALLA FOSSETTA SNC</t>
  </si>
  <si>
    <t>ANTICA TRATTORIA ALLA FOSSETTA</t>
  </si>
  <si>
    <t>VIA FOSSETTA</t>
  </si>
  <si>
    <t>NOALE</t>
  </si>
  <si>
    <t>VIA DEI NOVALE</t>
  </si>
  <si>
    <t>CELEGHIN RODOLFO</t>
  </si>
  <si>
    <t>ENOTECA AL FILO'</t>
  </si>
  <si>
    <t>VIA DELLA BOVA</t>
  </si>
  <si>
    <t>DE SILVESTRO GIANLUCA</t>
  </si>
  <si>
    <t>IL PASTO NUDO</t>
  </si>
  <si>
    <t>PELLIZZON ELIO</t>
  </si>
  <si>
    <t>CAPITELMOZZO</t>
  </si>
  <si>
    <t>STRADONE DELLA CROSARONA</t>
  </si>
  <si>
    <t>RISTORANTE AL GALLO SAS</t>
  </si>
  <si>
    <t>RISTORANTE AL GALLO</t>
  </si>
  <si>
    <t>TRE-ELLE SNC</t>
  </si>
  <si>
    <t>CORTIVO PUB</t>
  </si>
  <si>
    <t>VIA DELLA FONDA</t>
  </si>
  <si>
    <t>NOVENTA DI PIAVE</t>
  </si>
  <si>
    <t>VIA CALNOVA</t>
  </si>
  <si>
    <t>GARRUZZO SRL</t>
  </si>
  <si>
    <t>GARRUZZO</t>
  </si>
  <si>
    <t>AL FOGOLAR RISTORANT</t>
  </si>
  <si>
    <t>AL FOGOLAR</t>
  </si>
  <si>
    <t>PIANIGA</t>
  </si>
  <si>
    <t>VIA PROVINCIALE SUD</t>
  </si>
  <si>
    <t>COI &amp; NEGRO SNC</t>
  </si>
  <si>
    <t>COI E NEGRO</t>
  </si>
  <si>
    <t>LA CAPINERA SRL</t>
  </si>
  <si>
    <t>LA CAPINERA</t>
  </si>
  <si>
    <t>VIA MARINONI</t>
  </si>
  <si>
    <t>PORCELLUZZI RUGGIERO</t>
  </si>
  <si>
    <t>GIXI BAR</t>
  </si>
  <si>
    <t>VIA PIONCA</t>
  </si>
  <si>
    <t xml:space="preserve">SCOTTU ALBERTO </t>
  </si>
  <si>
    <t>DA ALBERTO PIZZERIA</t>
  </si>
  <si>
    <t>SIMONATO MARIO</t>
  </si>
  <si>
    <t>DA PONCIO</t>
  </si>
  <si>
    <t>SOLEADO SNC</t>
  </si>
  <si>
    <t>SOLEADO</t>
  </si>
  <si>
    <t>VIA MONTE ROSA</t>
  </si>
  <si>
    <t>VECCHIO PILSEN PIZZERIA</t>
  </si>
  <si>
    <t>PORTOGRUARO</t>
  </si>
  <si>
    <t>VIA ANTONIO BON</t>
  </si>
  <si>
    <t>B.K.I. SRL</t>
  </si>
  <si>
    <t>BURGER KING</t>
  </si>
  <si>
    <t>VIA PRATI GUORI</t>
  </si>
  <si>
    <t>CI.BO. SRL</t>
  </si>
  <si>
    <t>ARNOLD'S</t>
  </si>
  <si>
    <t>BORGO SANT'AGNESE</t>
  </si>
  <si>
    <t>COMIN MAIKOL</t>
  </si>
  <si>
    <t>ANTICO POZZO</t>
  </si>
  <si>
    <t>PIAZZA DELLA REPUBBLICA</t>
  </si>
  <si>
    <t>VIA ARRIGO BOITO</t>
  </si>
  <si>
    <t>CORAZZA MARA</t>
  </si>
  <si>
    <t>BASILICO ROSSO</t>
  </si>
  <si>
    <t>D.A. DI DONATI ANGELA &amp; C. SAS</t>
  </si>
  <si>
    <t>DONATI CAFFE</t>
  </si>
  <si>
    <t>PIAZZA FILIPPO TOMMASO MARINETTI</t>
  </si>
  <si>
    <t>DAL MAS MANUEL</t>
  </si>
  <si>
    <t>DELTA MARKET SNC</t>
  </si>
  <si>
    <t>CRAI TREVISAN</t>
  </si>
  <si>
    <t>DIANGELA SAS</t>
  </si>
  <si>
    <t>TECLA ALLE GRU</t>
  </si>
  <si>
    <t>CORSO MARTIRI DELLA LIBERTA'</t>
  </si>
  <si>
    <t>EASYME SRL</t>
  </si>
  <si>
    <t>WOK AROUND</t>
  </si>
  <si>
    <t>FREEDOM TO EAT SRLS</t>
  </si>
  <si>
    <t>SPIEDONNY</t>
  </si>
  <si>
    <t>GIROLDO GIANFRANCO</t>
  </si>
  <si>
    <t>CAVALLINO</t>
  </si>
  <si>
    <t>GRILLO LAURA</t>
  </si>
  <si>
    <t>AL PARCO</t>
  </si>
  <si>
    <t>VIA SEMINARIO</t>
  </si>
  <si>
    <t>HORECA RISTORA SOCIETA' A RESP</t>
  </si>
  <si>
    <t>ANTICO SPESSOTTO</t>
  </si>
  <si>
    <t>INFANTI MAURIZIO</t>
  </si>
  <si>
    <t>LISANDRO ANSELMO</t>
  </si>
  <si>
    <t>LEONE</t>
  </si>
  <si>
    <t>VIALE TREVISO</t>
  </si>
  <si>
    <t>LUNARDI MARTINA</t>
  </si>
  <si>
    <t>MARANGOTTO LIVIO</t>
  </si>
  <si>
    <t>NOSTRO</t>
  </si>
  <si>
    <t>VIALE ISONZO</t>
  </si>
  <si>
    <t>VIA PALAZZINE</t>
  </si>
  <si>
    <t>SORRISO SNC</t>
  </si>
  <si>
    <t>SORRISO</t>
  </si>
  <si>
    <t>CARREFOUR PORTOGRUARO</t>
  </si>
  <si>
    <t>FILIPPI DAL 1936 SNC</t>
  </si>
  <si>
    <t>FILIPPI DAL 1936</t>
  </si>
  <si>
    <t>PRAMAGGIORE</t>
  </si>
  <si>
    <t>VIA LISON</t>
  </si>
  <si>
    <t>MARTEDI  POMERIGGIO  MERCOLEDI</t>
  </si>
  <si>
    <t>AL PESCATORE S.N.C. DI ESPOSIT</t>
  </si>
  <si>
    <t>BAR AL PESCATORE</t>
  </si>
  <si>
    <t>QUARTO D'ALTINO</t>
  </si>
  <si>
    <t>AMADIO S. E TREVISAN D. SNC</t>
  </si>
  <si>
    <t>AL VECIO STAMPO</t>
  </si>
  <si>
    <t>VIA PAPA PAOLO VI</t>
  </si>
  <si>
    <t>COOPERATIVA SOCIALE QUALITA'</t>
  </si>
  <si>
    <t>LE VIE</t>
  </si>
  <si>
    <t>VIA SANT'ELIODORO</t>
  </si>
  <si>
    <t>MARTEDI    DOMENICA  POMERIGGIO</t>
  </si>
  <si>
    <t>FRICCICO SNC</t>
  </si>
  <si>
    <t>Q.B. PANINOTECA BIRRERIA</t>
  </si>
  <si>
    <t>PIERO'S SAS</t>
  </si>
  <si>
    <t>PIERO'S</t>
  </si>
  <si>
    <t>TREVISAN BRUNA</t>
  </si>
  <si>
    <t>VECIO DECIMO</t>
  </si>
  <si>
    <t>ZERBINI DANIELA</t>
  </si>
  <si>
    <t>IL POSTO GIUSTO</t>
  </si>
  <si>
    <t>ALL'ALBERA S.N.C.</t>
  </si>
  <si>
    <t>ALL'ALBERA PIZZERIA</t>
  </si>
  <si>
    <t>SALZANO</t>
  </si>
  <si>
    <t>BAR BORACCIA SAS</t>
  </si>
  <si>
    <t>BORACCIA</t>
  </si>
  <si>
    <t>BRIVIS SNC</t>
  </si>
  <si>
    <t>BRIVIS</t>
  </si>
  <si>
    <t>CAFFE' CENTRALE SNC</t>
  </si>
  <si>
    <t>CONCOLATO TIZIANA</t>
  </si>
  <si>
    <t>ANTICHI SAPORI</t>
  </si>
  <si>
    <t>VIA SICILIA</t>
  </si>
  <si>
    <t>GALLINA MANUEL</t>
  </si>
  <si>
    <t>L'ANGOLO</t>
  </si>
  <si>
    <t>AL BELVEDERE SNC</t>
  </si>
  <si>
    <t>AL BELVEDERE</t>
  </si>
  <si>
    <t>SAN DONA' DI PIAVE</t>
  </si>
  <si>
    <t>BELETIC  PETAR</t>
  </si>
  <si>
    <t>ALLO SCARPONE</t>
  </si>
  <si>
    <t>VIA ISEO</t>
  </si>
  <si>
    <t>SMILE</t>
  </si>
  <si>
    <t>VIA GIOBATTA DALL'ARMI</t>
  </si>
  <si>
    <t>EWAI SNC</t>
  </si>
  <si>
    <t>KRISTALL</t>
  </si>
  <si>
    <t>CORSO SILVIO TRENTIN</t>
  </si>
  <si>
    <t>F.LLI FERRAZZO SNC</t>
  </si>
  <si>
    <t>ALLA CACCIATORA</t>
  </si>
  <si>
    <t>VIA CAPOSILE</t>
  </si>
  <si>
    <t>FORTUNATO STEFANO</t>
  </si>
  <si>
    <t>THE STATION</t>
  </si>
  <si>
    <t>GALLORED SAS</t>
  </si>
  <si>
    <t>GALLORED PIZZERIA</t>
  </si>
  <si>
    <t>VIA COMO</t>
  </si>
  <si>
    <t>AGIP - GARRUZZO</t>
  </si>
  <si>
    <t>VIA MARTIRI DELLE FOIBE</t>
  </si>
  <si>
    <t>IL BACCANALE SNC</t>
  </si>
  <si>
    <t>VIA ANTONIO FERRO</t>
  </si>
  <si>
    <t>VIA GIORGIO LA PIRA</t>
  </si>
  <si>
    <t>MAKE SAS</t>
  </si>
  <si>
    <t>MAKE CAFE'</t>
  </si>
  <si>
    <t>VIA MATTEO VANZAN</t>
  </si>
  <si>
    <t>MIMOSA SAS</t>
  </si>
  <si>
    <t>GALLERIA PROGRESSO</t>
  </si>
  <si>
    <t>RUOCCO CARMINE</t>
  </si>
  <si>
    <t>MIRAFIORI</t>
  </si>
  <si>
    <t>VIA TESSERE</t>
  </si>
  <si>
    <t>VIA EZIO VANONI</t>
  </si>
  <si>
    <t>MEGA SAN DONA'</t>
  </si>
  <si>
    <t>VIA NOVENTA</t>
  </si>
  <si>
    <t>ZANUSSO SNC</t>
  </si>
  <si>
    <t>BAR BORSA</t>
  </si>
  <si>
    <t>PIAZZA INDIPENDENZA</t>
  </si>
  <si>
    <t>168 SNC</t>
  </si>
  <si>
    <t>CAPOLINEA RESTAURANT BAR</t>
  </si>
  <si>
    <t>SAN MICHELE AL TAGLIAMENTO</t>
  </si>
  <si>
    <t>VIA ATTILIO VENUDO</t>
  </si>
  <si>
    <t>CANEO GIOVANNI</t>
  </si>
  <si>
    <t>VALBELLA</t>
  </si>
  <si>
    <t>VIA TORRE</t>
  </si>
  <si>
    <t>HUANG CHUNLAN</t>
  </si>
  <si>
    <t>FUSION RESTAURANT LIN</t>
  </si>
  <si>
    <t>VIA MONTICANO</t>
  </si>
  <si>
    <t>L.D.N. SNC</t>
  </si>
  <si>
    <t>AL FOGO</t>
  </si>
  <si>
    <t>MACRI SRLS</t>
  </si>
  <si>
    <t>CANTINA VENETA</t>
  </si>
  <si>
    <t>CORSO DEL SOLE</t>
  </si>
  <si>
    <t>VIA CELLINA</t>
  </si>
  <si>
    <t>ASTRA SAS</t>
  </si>
  <si>
    <t>MOVI'S VIDEO PUB</t>
  </si>
  <si>
    <t>SAN STINO DI LIVENZA</t>
  </si>
  <si>
    <t>PIAZZA CARLO GOLDONI</t>
  </si>
  <si>
    <t>BOATTO ERCOLE</t>
  </si>
  <si>
    <t>BELLOMO</t>
  </si>
  <si>
    <t>PIAZZA ALDO MORO</t>
  </si>
  <si>
    <t>GASPARINI LUCIANO</t>
  </si>
  <si>
    <t>TRATTORIA LORENZON</t>
  </si>
  <si>
    <t>CORSO CAMILLO CAVOUR</t>
  </si>
  <si>
    <t>LA FRASCA SOCIETA' AGRICOLA SS</t>
  </si>
  <si>
    <t>LA FRASCA</t>
  </si>
  <si>
    <t>VIA PIANCAVALLO</t>
  </si>
  <si>
    <t>CALZAVARA DANILO</t>
  </si>
  <si>
    <t>GASTRONOMIA CALZAVARA</t>
  </si>
  <si>
    <t>SANTA MARIA DI SALA</t>
  </si>
  <si>
    <t>VIA GORGO</t>
  </si>
  <si>
    <t>CARRARO ROBERTO</t>
  </si>
  <si>
    <t>MERIDIANA</t>
  </si>
  <si>
    <t>SEMENZATO PAOLA</t>
  </si>
  <si>
    <t>DA PAOLA E LELE</t>
  </si>
  <si>
    <t>CARLINI PAOLO</t>
  </si>
  <si>
    <t>L'ANGOLO DEL GUSTO</t>
  </si>
  <si>
    <t>SCORZE'</t>
  </si>
  <si>
    <t>VIA MOGLIANESE</t>
  </si>
  <si>
    <t>EUROSPESA SCORZE'</t>
  </si>
  <si>
    <t>ELLEGIELLE SRL</t>
  </si>
  <si>
    <t>AL DRIZZAGNO</t>
  </si>
  <si>
    <t>VIA DRIZZAGNO</t>
  </si>
  <si>
    <t>INSTABILE SAS</t>
  </si>
  <si>
    <t>INSTABILE PIZZERIA &amp; CUCINA</t>
  </si>
  <si>
    <t>VICOLO MONTE PASUBIO</t>
  </si>
  <si>
    <t>RAINATO PAOLO</t>
  </si>
  <si>
    <t>ALLA CROSARONA</t>
  </si>
  <si>
    <t>EMISFERO SCORZE</t>
  </si>
  <si>
    <t>VIA VINCENZO GAGLIARDI</t>
  </si>
  <si>
    <t>BONOMO BEATRICE &amp; C. SAS</t>
  </si>
  <si>
    <t>LA CORTE</t>
  </si>
  <si>
    <t>SPINEA</t>
  </si>
  <si>
    <t>CABIANCA PAOLO</t>
  </si>
  <si>
    <t>PIZZA EXPRESS 2</t>
  </si>
  <si>
    <t>VIA ANTONELLO DA MESSINA</t>
  </si>
  <si>
    <t>VIA DELLA COSTITUZIONE</t>
  </si>
  <si>
    <t>F.LLI NIERO SRL</t>
  </si>
  <si>
    <t>EL CANTON DE SPINEA</t>
  </si>
  <si>
    <t>MAMAGIAL SNC</t>
  </si>
  <si>
    <t>BARONE ROSSO</t>
  </si>
  <si>
    <t>AGA FOOD SRL</t>
  </si>
  <si>
    <t>BACCANALE GOURMET</t>
  </si>
  <si>
    <t>VIA PIETRO ARDUINO</t>
  </si>
  <si>
    <t>AI CERVI SNC</t>
  </si>
  <si>
    <t>AI CERVI</t>
  </si>
  <si>
    <t>STRADA NOVA</t>
  </si>
  <si>
    <t>AI SAPORI SNC</t>
  </si>
  <si>
    <t>AI SAPORI</t>
  </si>
  <si>
    <t>VIA BARTOLOMEO BENVENUTO</t>
  </si>
  <si>
    <t>AL CALESSE SAS</t>
  </si>
  <si>
    <t>IL CALESSE PIZZERIA</t>
  </si>
  <si>
    <t>VIA CESARE BECCARIA</t>
  </si>
  <si>
    <t>AL CAMIONISTA TRATT.</t>
  </si>
  <si>
    <t>AL CAMIONISTA</t>
  </si>
  <si>
    <t>VIA FORTE MARGHERA</t>
  </si>
  <si>
    <t>AL CAPOLINEA DI FRANZESE A.</t>
  </si>
  <si>
    <t>AL CAPOLINEA</t>
  </si>
  <si>
    <t>VIA ALTINIA</t>
  </si>
  <si>
    <t>AL GIARDINETTO SNC</t>
  </si>
  <si>
    <t>AL GIARDINETTO PIZZ.</t>
  </si>
  <si>
    <t>VIA GIUSEPPE ZAMBELLI</t>
  </si>
  <si>
    <t>AL VAPORE S.N.C.</t>
  </si>
  <si>
    <t>AL VAPORE</t>
  </si>
  <si>
    <t>VIA FRATELLI BANDIERA</t>
  </si>
  <si>
    <t>AL VECIO PENASA SRL</t>
  </si>
  <si>
    <t>AL VECIO PENASA</t>
  </si>
  <si>
    <t>CALLE DELLE RAZZE</t>
  </si>
  <si>
    <t>AL VECIO POZZO SAS</t>
  </si>
  <si>
    <t>OSTARIA AL VECIO POZZO</t>
  </si>
  <si>
    <t>VIA SAN CROCE</t>
  </si>
  <si>
    <t>AL VERDE SRL</t>
  </si>
  <si>
    <t>LA LISTA BISTRO</t>
  </si>
  <si>
    <t>SESTIERE CANNAREGIO</t>
  </si>
  <si>
    <t>ALBACHIARA SAS</t>
  </si>
  <si>
    <t>ALBACHIARA</t>
  </si>
  <si>
    <t>VIA GOBBI</t>
  </si>
  <si>
    <t>GIOVEDI  POMERIGGIO  SABATO  MATTINO</t>
  </si>
  <si>
    <t>ALIANI GIULIANO</t>
  </si>
  <si>
    <t>CASA DEL PARMIGIANO</t>
  </si>
  <si>
    <t>CAMPO BELLA VIENNA</t>
  </si>
  <si>
    <t>ALLA FORNACE SNC</t>
  </si>
  <si>
    <t>ALLA FORNACE</t>
  </si>
  <si>
    <t>VIA PADANA</t>
  </si>
  <si>
    <t>ALLE BURCHIELLE SAS</t>
  </si>
  <si>
    <t>ALLE BURCHIELLE</t>
  </si>
  <si>
    <t>SESTIERE SANTA CROCE</t>
  </si>
  <si>
    <t>ALTERNO DANIELE SNC</t>
  </si>
  <si>
    <t>ALTERNO ALIMENTARI</t>
  </si>
  <si>
    <t>VIA VALLON</t>
  </si>
  <si>
    <t>ARIETE SNC</t>
  </si>
  <si>
    <t>CASTAGNO MATTO</t>
  </si>
  <si>
    <t>ART &amp; FOOD SRL</t>
  </si>
  <si>
    <t>MOLO DI VENEZIA</t>
  </si>
  <si>
    <t>VIA DELL'ELETTRICITA'</t>
  </si>
  <si>
    <t>VIA PACCAGNELLA</t>
  </si>
  <si>
    <t>VIA GABRIEL BELLA</t>
  </si>
  <si>
    <t>ASPIAG</t>
  </si>
  <si>
    <t>CAMPIELLO DE L'ANCONETA</t>
  </si>
  <si>
    <t>TEATRO ITALIA</t>
  </si>
  <si>
    <t>CALLE DEL CARBON</t>
  </si>
  <si>
    <t>ASTRA S.R.L.</t>
  </si>
  <si>
    <t>DEVIL'S FOREST PUB</t>
  </si>
  <si>
    <t>CALLE DEI STAGNERI</t>
  </si>
  <si>
    <t>BAR AUTORIMESSA SRL</t>
  </si>
  <si>
    <t>AUTORIMESSA</t>
  </si>
  <si>
    <t>PIAZZALE ROMA</t>
  </si>
  <si>
    <t>BAR PRINCIPE SNC</t>
  </si>
  <si>
    <t>BASARA VENEZIA SRL</t>
  </si>
  <si>
    <t>BASARA SUSHI</t>
  </si>
  <si>
    <t>SESTIERE SAN MARCO</t>
  </si>
  <si>
    <t>B.B. SNC</t>
  </si>
  <si>
    <t>SCARABEO</t>
  </si>
  <si>
    <t>VIA CAPPUCCINA</t>
  </si>
  <si>
    <t>BERTOLDO FAUSTO</t>
  </si>
  <si>
    <t>AL CHICCHIRICHI'PIZZ</t>
  </si>
  <si>
    <t>VIA GIUSEPPE CALUCCI</t>
  </si>
  <si>
    <t>BISETTO FABIO</t>
  </si>
  <si>
    <t>OSTERIA CUCCAGNA</t>
  </si>
  <si>
    <t>BISTROT 55 SRL</t>
  </si>
  <si>
    <t>BISTROT 55</t>
  </si>
  <si>
    <t>PIAZZA ERMINIO FERRETTO</t>
  </si>
  <si>
    <t>BLU BAR SAS</t>
  </si>
  <si>
    <t>CALLE LARGA DEI RAGUSEI</t>
  </si>
  <si>
    <t>BOAT SERVICE SAS</t>
  </si>
  <si>
    <t>BOAT SERVICE</t>
  </si>
  <si>
    <t>ISOLA NOVA DEL TRONCHETTO</t>
  </si>
  <si>
    <t>BORTOLUZZI ELISABETTA</t>
  </si>
  <si>
    <t>OSTERIA AL PONTE</t>
  </si>
  <si>
    <t xml:space="preserve"> RIO TERRA' SAN GIUSEPPE</t>
  </si>
  <si>
    <t>CAFE' LE BARCHE SRL</t>
  </si>
  <si>
    <t>LE BARCHE</t>
  </si>
  <si>
    <t>PIAZZA XXVII OTTOBRE</t>
  </si>
  <si>
    <t>CAFFE' ORIENTALE SAS</t>
  </si>
  <si>
    <t>CAFFE ORIENTALE</t>
  </si>
  <si>
    <t>CAFFE' VENETO SRL</t>
  </si>
  <si>
    <t>CAFFE VENETO</t>
  </si>
  <si>
    <t>VIA DON FEDERICO TOSATTO</t>
  </si>
  <si>
    <t>CAFFE' VERGNANO 1882 EDERA SRL</t>
  </si>
  <si>
    <t>CAFFETTERIA VERGNANO</t>
  </si>
  <si>
    <t>VIA PALAZZO</t>
  </si>
  <si>
    <t>CAFFETTERIA BISSUOLA</t>
  </si>
  <si>
    <t>BISSUOLA</t>
  </si>
  <si>
    <t>VIA BISSUOLA</t>
  </si>
  <si>
    <t>CAFFETTERIA CANAL SAS</t>
  </si>
  <si>
    <t>CAFFETTERIA CANAL</t>
  </si>
  <si>
    <t>VIA BERNARDO CANAL</t>
  </si>
  <si>
    <t>CALZAVARA MARILU'</t>
  </si>
  <si>
    <t>DA MARILU'</t>
  </si>
  <si>
    <t>VIA ANDREA COSTA</t>
  </si>
  <si>
    <t>CAPPUCCIO PIETRO</t>
  </si>
  <si>
    <t>84010 PIZZOSTERIA</t>
  </si>
  <si>
    <t>VIA CATENE</t>
  </si>
  <si>
    <t>CAPRI SRLS</t>
  </si>
  <si>
    <t>CAPRI</t>
  </si>
  <si>
    <t>VIA GIORGIO RIZZARDI</t>
  </si>
  <si>
    <t>CARLINI MAURIZIO</t>
  </si>
  <si>
    <t>MICRO MARKET</t>
  </si>
  <si>
    <t>VIA CA' SOLARO</t>
  </si>
  <si>
    <t>CASA DEL PARMIGIANO SRL</t>
  </si>
  <si>
    <t>VIA PAOLO PARUTA</t>
  </si>
  <si>
    <t>CASARIN F. &amp; C. SNC</t>
  </si>
  <si>
    <t>CECCON PAOLO</t>
  </si>
  <si>
    <t>CECCON</t>
  </si>
  <si>
    <t>PIAZZA CARPENEDO</t>
  </si>
  <si>
    <t>LUNEDI  TUTTO IL GIORNO    TUTTO IL GIORNO</t>
  </si>
  <si>
    <t>CELEGHIN ROBERTA</t>
  </si>
  <si>
    <t>ALL'ANCORA</t>
  </si>
  <si>
    <t>VIA JACOPO PALMA</t>
  </si>
  <si>
    <t>CHEN JIANQING</t>
  </si>
  <si>
    <t>LA CANTINELLA</t>
  </si>
  <si>
    <t>VIA MALCONTENTA</t>
  </si>
  <si>
    <t>CHIARANDA S.N.C.</t>
  </si>
  <si>
    <t>CHIARANDA</t>
  </si>
  <si>
    <t>FONDAMENTA ORSEOLO</t>
  </si>
  <si>
    <t>PIAZZALE LUIGI CANDIANI</t>
  </si>
  <si>
    <t>ROMEO CAFE'</t>
  </si>
  <si>
    <t>STRADA NUOVA</t>
  </si>
  <si>
    <t>CIPPIEFFE SRL</t>
  </si>
  <si>
    <t>FRATELLI LA BUFALA</t>
  </si>
  <si>
    <t>CORTE MARIN SANUDO</t>
  </si>
  <si>
    <t>AIR SIDE</t>
  </si>
  <si>
    <t>VIALE GALILEO GALILEI</t>
  </si>
  <si>
    <t>RITA SAVE</t>
  </si>
  <si>
    <t>CIRCOLO CULTURALE ARCI SAHARA</t>
  </si>
  <si>
    <t>ARCI SAHARA</t>
  </si>
  <si>
    <t>COMMERCIALE MESTRINA SRL</t>
  </si>
  <si>
    <t>SUPERMERCATO META'</t>
  </si>
  <si>
    <t>CONTROVENTO COOP. SOCIALE</t>
  </si>
  <si>
    <t>LA DISPENSA DEL FORTE</t>
  </si>
  <si>
    <t>VIA GIUSTO FUGA</t>
  </si>
  <si>
    <t>VIA PASSO CAMPALTO</t>
  </si>
  <si>
    <t>VIA MONTE NERO</t>
  </si>
  <si>
    <t>SESTIERE ZENNARI</t>
  </si>
  <si>
    <t>SESTIERE CASTELLO</t>
  </si>
  <si>
    <t>SESTIERE SAN POLO</t>
  </si>
  <si>
    <t>VIA MALAMOCCO</t>
  </si>
  <si>
    <t>VIA SAN DONA'</t>
  </si>
  <si>
    <t>VENEZIA CAMPO SANTA MARIA</t>
  </si>
  <si>
    <t>VIA CA' MARCELLO</t>
  </si>
  <si>
    <t>FONDAMENTA RIVALONGA</t>
  </si>
  <si>
    <t>MESTRE CORSO DEL POPOLO</t>
  </si>
  <si>
    <t>MONDO NOVO</t>
  </si>
  <si>
    <t>SALIZADA SAN LIO</t>
  </si>
  <si>
    <t>MESTRE CAMPO GRANDE</t>
  </si>
  <si>
    <t>VIA PIONARA</t>
  </si>
  <si>
    <t>SAN FELICE</t>
  </si>
  <si>
    <t>MARGHERA NAVE DE VERO</t>
  </si>
  <si>
    <t>RIALTO</t>
  </si>
  <si>
    <t>RIVA CARBON</t>
  </si>
  <si>
    <t>VIA DOGE DOMENICO MICHIEL</t>
  </si>
  <si>
    <t>CORAZZIERI SAS</t>
  </si>
  <si>
    <t>BACARANDO IN CORTE DELL'ORSO</t>
  </si>
  <si>
    <t>CORTE ORSO</t>
  </si>
  <si>
    <t>COSEANI MAURO S.A.S.</t>
  </si>
  <si>
    <t>GREEN GARDEN RESTAURANT</t>
  </si>
  <si>
    <t>VIA ASSEGGIANO</t>
  </si>
  <si>
    <t>COSMAR SNC</t>
  </si>
  <si>
    <t>COSMAR</t>
  </si>
  <si>
    <t>CREPERIA SM SANTI</t>
  </si>
  <si>
    <t>CREPERIA SANTI</t>
  </si>
  <si>
    <t>VIA DEGAN</t>
  </si>
  <si>
    <t>CRIMA SAS</t>
  </si>
  <si>
    <t>ALLE LANCE</t>
  </si>
  <si>
    <t>DA CELIO SNC</t>
  </si>
  <si>
    <t>DA CELIO</t>
  </si>
  <si>
    <t>DA OLINDO SAS</t>
  </si>
  <si>
    <t>DA OLINDO</t>
  </si>
  <si>
    <t>VIA ALPAGO</t>
  </si>
  <si>
    <t>VIA ALDO CAMPORESE</t>
  </si>
  <si>
    <t>DELLA NEGRA LUIGINA</t>
  </si>
  <si>
    <t xml:space="preserve">ITALIANA CAFFE' </t>
  </si>
  <si>
    <t>IL PALCO</t>
  </si>
  <si>
    <t>DM SRL</t>
  </si>
  <si>
    <t>PIZZERIA DA MICHELE</t>
  </si>
  <si>
    <t>D.N.A. SAS</t>
  </si>
  <si>
    <t>LE BISTROT</t>
  </si>
  <si>
    <t>FONDAMENTA SANT'ANDREA</t>
  </si>
  <si>
    <t>DOPO SRL</t>
  </si>
  <si>
    <t>AI SCALZI</t>
  </si>
  <si>
    <t>DOPPIAZETA SRL</t>
  </si>
  <si>
    <t>CUPIDO</t>
  </si>
  <si>
    <t>FONDAMENTA NUOVE</t>
  </si>
  <si>
    <t>DORZ SAS</t>
  </si>
  <si>
    <t>DAL MAS PASTICCERIA</t>
  </si>
  <si>
    <t xml:space="preserve"> LISTA SPAGNA</t>
  </si>
  <si>
    <t>DREAMS PLANET PUB SNC</t>
  </si>
  <si>
    <t>DREAMS PLANET PUB</t>
  </si>
  <si>
    <t xml:space="preserve">EKO SRL </t>
  </si>
  <si>
    <t>OKE</t>
  </si>
  <si>
    <t>SESTIERE DORSODURO</t>
  </si>
  <si>
    <t>EL FRITOIL DI LODOLI SAMUELE</t>
  </si>
  <si>
    <t>EL FRITOIN</t>
  </si>
  <si>
    <t>VIA CA' SAVORGNAN</t>
  </si>
  <si>
    <t>ELIOR RISTORAZIONE SPA</t>
  </si>
  <si>
    <t>MENSA BNL MESTRE</t>
  </si>
  <si>
    <t>ENSAR SRL</t>
  </si>
  <si>
    <t>WE LOVE ITALY</t>
  </si>
  <si>
    <t>EREDI GIOVANNI BARBALICH SAS</t>
  </si>
  <si>
    <t>AL TODARO</t>
  </si>
  <si>
    <t>EREDI ORTIS PIETRO</t>
  </si>
  <si>
    <t>ORTIS</t>
  </si>
  <si>
    <t>CAMPO SANTA GIUSTINA</t>
  </si>
  <si>
    <t>ERMENELGILDO ROSA SALVA S.R.L.</t>
  </si>
  <si>
    <t>ROSA SALVA</t>
  </si>
  <si>
    <t>ESPOSITO GIORGIO</t>
  </si>
  <si>
    <t>SERENELLA PIZZERIA</t>
  </si>
  <si>
    <t>EURORISTORAZIONE SRL</t>
  </si>
  <si>
    <t>MENSA INTERNA AGENZIA DELLE EN</t>
  </si>
  <si>
    <t>VIA GIUSEPPE DE MARCHI</t>
  </si>
  <si>
    <t>BAR ALFA</t>
  </si>
  <si>
    <t>BAR INTERNO AGENZIA DELLE ENTR</t>
  </si>
  <si>
    <t>FA.MA. SAS</t>
  </si>
  <si>
    <t>OLIMPIA SPRINT</t>
  </si>
  <si>
    <t>CALLE SAN GALLO</t>
  </si>
  <si>
    <t>FAMIGLIA VIO SNC</t>
  </si>
  <si>
    <t>MARCHINI TIME</t>
  </si>
  <si>
    <t>CAMPO SAN LUCA</t>
  </si>
  <si>
    <t>FAREMO SRL</t>
  </si>
  <si>
    <t>SEPA</t>
  </si>
  <si>
    <t>FAVARIN DESIDERIO</t>
  </si>
  <si>
    <t>FISAT SAS</t>
  </si>
  <si>
    <t>CAPITAN UNCINO</t>
  </si>
  <si>
    <t>CAMPO SAN GIACOMO DALL'ORIO</t>
  </si>
  <si>
    <t>F.LLI FANTINATO SNC</t>
  </si>
  <si>
    <t>LA SOSTA</t>
  </si>
  <si>
    <t>F.LLI SALIN SNC</t>
  </si>
  <si>
    <t>PALAZZO GRANDI STAZIONI</t>
  </si>
  <si>
    <t>FONDAMENTA SANTA LUCIA</t>
  </si>
  <si>
    <t>F.LLI SAVASTANO SNC</t>
  </si>
  <si>
    <t>LA CONCHIGLIA</t>
  </si>
  <si>
    <t>F.LLI VALDO SNC</t>
  </si>
  <si>
    <t>DA CIANO</t>
  </si>
  <si>
    <t>VIA DEL GALLO</t>
  </si>
  <si>
    <t>VALDO</t>
  </si>
  <si>
    <t>VIA SANDRO GALLO</t>
  </si>
  <si>
    <t>FOOD &amp; ART GIUDECCA S.R.L.</t>
  </si>
  <si>
    <t>ATR &amp; FOOD</t>
  </si>
  <si>
    <t>CAMPO JUNGHANS</t>
  </si>
  <si>
    <t>FOOD FAVORITA SAS</t>
  </si>
  <si>
    <t>ALLA VECCHIA FAVORITA</t>
  </si>
  <si>
    <t>FRAMAT S.N.C. DI ROSSETTO MATT</t>
  </si>
  <si>
    <t>TIC TAC CAFFE'</t>
  </si>
  <si>
    <t>FUJI SRL</t>
  </si>
  <si>
    <t>FUJI</t>
  </si>
  <si>
    <t>GALIVM VENEZIA SRL</t>
  </si>
  <si>
    <t>GALIVM</t>
  </si>
  <si>
    <t>VIA PEPPINO IMPASTATO</t>
  </si>
  <si>
    <t>GALLO ALESSANDRO</t>
  </si>
  <si>
    <t>CAFFE' VITTORIA</t>
  </si>
  <si>
    <t>GALLOWAY MESTRE SRL</t>
  </si>
  <si>
    <t>VIA BRUNO MADERNA</t>
  </si>
  <si>
    <t>GASH SRL</t>
  </si>
  <si>
    <t>GEESE SRL</t>
  </si>
  <si>
    <t>AE OCHE</t>
  </si>
  <si>
    <t>MENSA VENEZIA MESTRE DL</t>
  </si>
  <si>
    <t>VIA DEL PARCO FERROVIARIO</t>
  </si>
  <si>
    <t>MENSA VENEZIA MESTRE OCIE</t>
  </si>
  <si>
    <t>VIA TRENTO</t>
  </si>
  <si>
    <t>GIADA 2012 SNC</t>
  </si>
  <si>
    <t>DA GIADA</t>
  </si>
  <si>
    <t>GI.ERRE OLD STYLE SRL</t>
  </si>
  <si>
    <t>GIOJA SAS</t>
  </si>
  <si>
    <t>LA BRASILIANA</t>
  </si>
  <si>
    <t>CALLE MERCERIE SAN ZULIAN</t>
  </si>
  <si>
    <t>GI.PI. SAS DI ORFEI</t>
  </si>
  <si>
    <t>MIRAMARE</t>
  </si>
  <si>
    <t>LUNGOMARE GUGLIELMO MARCONI</t>
  </si>
  <si>
    <t>G.M.A. SAS</t>
  </si>
  <si>
    <t>GOBBI</t>
  </si>
  <si>
    <t>G.P.E. SRL</t>
  </si>
  <si>
    <t>IL MEDITERRANEO</t>
  </si>
  <si>
    <t>GRAVA &amp; TOFFOLON SNC</t>
  </si>
  <si>
    <t>LA GASTRONOMIA</t>
  </si>
  <si>
    <t>GROSINI LORENZO SNC</t>
  </si>
  <si>
    <t>AL PROGRESSO PIZZERIA</t>
  </si>
  <si>
    <t>VIALE GIUSEPPE GARIBALDI</t>
  </si>
  <si>
    <t>HARD ROCK CAFE' ITALY SRL</t>
  </si>
  <si>
    <t>HARDROCK CAFE ITALY</t>
  </si>
  <si>
    <t xml:space="preserve"> BACINO ORSEOLO</t>
  </si>
  <si>
    <t xml:space="preserve">HKT SRL </t>
  </si>
  <si>
    <t>DOGE MORISINI</t>
  </si>
  <si>
    <t>H.N.H TER SRL</t>
  </si>
  <si>
    <t>MOVER DRINK &amp; FOOD</t>
  </si>
  <si>
    <t>HOSTERIA VENEZIANA SNC</t>
  </si>
  <si>
    <t>HOSTERIA VENEZIANA</t>
  </si>
  <si>
    <t>FONDAMENTA DEL PAGAN</t>
  </si>
  <si>
    <t>HOTEL MALIBRAN SRL</t>
  </si>
  <si>
    <t>MALIBRAN</t>
  </si>
  <si>
    <t>HOTEL PLAZA SPA</t>
  </si>
  <si>
    <t>SOUL KITCHEN CAFE'</t>
  </si>
  <si>
    <t>HOTEL RIST. BOLOGNA E STAZIONE</t>
  </si>
  <si>
    <t>HOTEL BOLOGNA E STAZIONE</t>
  </si>
  <si>
    <t>IL GIGLIO SNC</t>
  </si>
  <si>
    <t>ALLA LAGUNA</t>
  </si>
  <si>
    <t>IL NOTTAMBULO SRLS</t>
  </si>
  <si>
    <t>IL NOTTAMBULO</t>
  </si>
  <si>
    <t>INSIEME SNC</t>
  </si>
  <si>
    <t xml:space="preserve"> GRAN VIALE SANTA MARIA ELISABETTA</t>
  </si>
  <si>
    <t>IRIS P.A.F.SRL</t>
  </si>
  <si>
    <t>JIANG KAI</t>
  </si>
  <si>
    <t>SOLE LUNA</t>
  </si>
  <si>
    <t>VIA BALDASSARRE LONGHENA</t>
  </si>
  <si>
    <t>KAOS CAMPANIA SRL</t>
  </si>
  <si>
    <t>VIA DEL TRIFOGLIO</t>
  </si>
  <si>
    <t>KOFLER VENEZIA</t>
  </si>
  <si>
    <t>LA GESTIONE SRL</t>
  </si>
  <si>
    <t>LE ISOLE</t>
  </si>
  <si>
    <t>VIA SERTORIO ORSATO</t>
  </si>
  <si>
    <t>I CRISTALLI</t>
  </si>
  <si>
    <t>LA GIOIA SRL</t>
  </si>
  <si>
    <t>OSTERIA DEL LUPO NERO</t>
  </si>
  <si>
    <t>VIA GIORGIO FERRO</t>
  </si>
  <si>
    <t>LA GONDOLA SRLS</t>
  </si>
  <si>
    <t>META'</t>
  </si>
  <si>
    <t>VIA ORLANDA</t>
  </si>
  <si>
    <t>LA PAUSA SAS</t>
  </si>
  <si>
    <t>AL BACCO FELICE</t>
  </si>
  <si>
    <t>CALLE DEI AMAI</t>
  </si>
  <si>
    <t>LA PESCOTTERIA SRL</t>
  </si>
  <si>
    <t>LA PESCOTTERIA</t>
  </si>
  <si>
    <t>LA TAVERNA SNC</t>
  </si>
  <si>
    <t>LA TAVERNA PIZZ.</t>
  </si>
  <si>
    <t>VIA TIRO</t>
  </si>
  <si>
    <t>L'ALCHIMISTA SNC</t>
  </si>
  <si>
    <t>L'ALCHIMISTA PIZZERIA</t>
  </si>
  <si>
    <t>LE ISOLE SAS</t>
  </si>
  <si>
    <t>LEON D'ORO SAS</t>
  </si>
  <si>
    <t xml:space="preserve">TUTTI IN PIEDI </t>
  </si>
  <si>
    <t>LEONARDO S.R.L.</t>
  </si>
  <si>
    <t>VIA VISINONI</t>
  </si>
  <si>
    <t>L'ERBAVOGLIO</t>
  </si>
  <si>
    <t>LEVORATO DENI</t>
  </si>
  <si>
    <t>L'ANGOLO DEL VINO</t>
  </si>
  <si>
    <t>VIA ANTONIO OLIVI</t>
  </si>
  <si>
    <t>LICO MESTAN</t>
  </si>
  <si>
    <t>COLORS DI LICO MESTAN</t>
  </si>
  <si>
    <t>LIU XIAOXIA</t>
  </si>
  <si>
    <t>MODI' CAFE' WINE BAR</t>
  </si>
  <si>
    <t>LIVIERO LUCIA</t>
  </si>
  <si>
    <t>LIVIERO</t>
  </si>
  <si>
    <t>VIA ASTORRE BAGLIONI</t>
  </si>
  <si>
    <t>LOCANDA AL RASPO DE UA SRL</t>
  </si>
  <si>
    <t>LOCANDA AL RASPO DE UA</t>
  </si>
  <si>
    <t>VIA BALDASSARRE GALUPPI</t>
  </si>
  <si>
    <t>LORY E FLORY SAS DI MECAJ Z.&amp;C</t>
  </si>
  <si>
    <t>SIORA ROSA</t>
  </si>
  <si>
    <t>LUCA COSMAI</t>
  </si>
  <si>
    <t>AI GEMELLI</t>
  </si>
  <si>
    <t>LU.FRA. SNC</t>
  </si>
  <si>
    <t>ARCIMBOLDO</t>
  </si>
  <si>
    <t>LU.FRA SRL</t>
  </si>
  <si>
    <t>CA'BOLEA</t>
  </si>
  <si>
    <t>LUMI SRL</t>
  </si>
  <si>
    <t>VIA DELLA RINASCITA</t>
  </si>
  <si>
    <t>MAGIA SNC</t>
  </si>
  <si>
    <t>MAGIA RISTOBAR</t>
  </si>
  <si>
    <t>VIALE ANCONA</t>
  </si>
  <si>
    <t>MAGUMAZA SNC</t>
  </si>
  <si>
    <t>LATTERIA</t>
  </si>
  <si>
    <t>MALUDAST SAS</t>
  </si>
  <si>
    <t>PIAZZALE DEL MUNICIPIO</t>
  </si>
  <si>
    <t>MARE LUNA SRL</t>
  </si>
  <si>
    <t>NAPUL'E</t>
  </si>
  <si>
    <t>VIA PESCHERIA VECCHIA</t>
  </si>
  <si>
    <t>MARTIGNON ANDREA</t>
  </si>
  <si>
    <t>OSTERIA AI GOBBI</t>
  </si>
  <si>
    <t>MARZARO GASTONE</t>
  </si>
  <si>
    <t>GASTONE SNACK BAR</t>
  </si>
  <si>
    <t>M&amp;B SAS</t>
  </si>
  <si>
    <t>SERENA</t>
  </si>
  <si>
    <t>VIA ALESSANDRO POERIO</t>
  </si>
  <si>
    <t>MB TRENDY SRL</t>
  </si>
  <si>
    <t>GUSTOCLICK</t>
  </si>
  <si>
    <t>MDR DI RIGOTTI DAVID</t>
  </si>
  <si>
    <t>CALLE DEL FORNO</t>
  </si>
  <si>
    <t>MEETING &amp; DINING SERVICES SRL</t>
  </si>
  <si>
    <t>MUSEO CORRER</t>
  </si>
  <si>
    <t>MUSEO CA PESARO</t>
  </si>
  <si>
    <t>PALAZZO DUCALE</t>
  </si>
  <si>
    <t>CASINO'</t>
  </si>
  <si>
    <t>VIA PALIAGA</t>
  </si>
  <si>
    <t>CA REZZONICO</t>
  </si>
  <si>
    <t>M.E.G RISTORO SRL</t>
  </si>
  <si>
    <t>SANT'ANNA PIZZERIA</t>
  </si>
  <si>
    <t>VIA PIETRO PALEOCAPA</t>
  </si>
  <si>
    <t>MI.TO. SAS</t>
  </si>
  <si>
    <t>LA ROSA DEI VENTI</t>
  </si>
  <si>
    <t>FONDAMENTA GIOVANNI MINOTTO</t>
  </si>
  <si>
    <t>MONDELLO LOREDANA</t>
  </si>
  <si>
    <t>MANCIASTI?</t>
  </si>
  <si>
    <t>GALLERIA DELLA TORRE</t>
  </si>
  <si>
    <t>MOVIE BISTRO' SRL</t>
  </si>
  <si>
    <t>MOVIE  BISTRO'</t>
  </si>
  <si>
    <t>CALLE DELLA MANDOLA</t>
  </si>
  <si>
    <t>NEW VENICE COM SRL</t>
  </si>
  <si>
    <t>FONDAMENTA SAN GIORGIO DEGLI SCHIAVONI</t>
  </si>
  <si>
    <t>N.G.N. COMPANY SAS</t>
  </si>
  <si>
    <t>AL BINARIO</t>
  </si>
  <si>
    <t>BLUE BUS CAFE'</t>
  </si>
  <si>
    <t>NIKEL SAS</t>
  </si>
  <si>
    <t>FORMAGGERIA SAN MICHELE</t>
  </si>
  <si>
    <t>VIA FRANCESCO SCIPIONE FAPANNI</t>
  </si>
  <si>
    <t>NON SOLO CARNE S.N.C.</t>
  </si>
  <si>
    <t>NON SOLO CARNE</t>
  </si>
  <si>
    <t>VIA GIOVANNI MINOTTO</t>
  </si>
  <si>
    <t>NOVELLO MARISTELLA</t>
  </si>
  <si>
    <t>PILLA</t>
  </si>
  <si>
    <t>NOVENTA ORESTE</t>
  </si>
  <si>
    <t>PANE DOLCI E GOLOSITA'</t>
  </si>
  <si>
    <t>OFFICINA DEI MESTIERI SRL</t>
  </si>
  <si>
    <t>ONGARO LUCA</t>
  </si>
  <si>
    <t>VITTORIA MOVIE</t>
  </si>
  <si>
    <t>ORIONE SRL</t>
  </si>
  <si>
    <t>CALLE TINTOR</t>
  </si>
  <si>
    <t>PAGGIARIN M.&amp; C.SNC</t>
  </si>
  <si>
    <t>LA BAUTA</t>
  </si>
  <si>
    <t>FONDAMENTA GAFFARO</t>
  </si>
  <si>
    <t>PAGIN BRUNO</t>
  </si>
  <si>
    <t>GRECIA E ORIENTE</t>
  </si>
  <si>
    <t>FONDAMENTA RIO DE LE BURCHIELLE</t>
  </si>
  <si>
    <t>PANIZZA RENATO &amp; C.SNC</t>
  </si>
  <si>
    <t>DA TERZO</t>
  </si>
  <si>
    <t>PAROLISI MICHELE</t>
  </si>
  <si>
    <t>PIZZALONGA</t>
  </si>
  <si>
    <t>PELLEGRINI SPA</t>
  </si>
  <si>
    <t>REGIONE VENETO</t>
  </si>
  <si>
    <t>PERLA BAR SNC</t>
  </si>
  <si>
    <t>PERLA</t>
  </si>
  <si>
    <t>VIA MESTRINA</t>
  </si>
  <si>
    <t>PIAZZA FERRETTO SRL</t>
  </si>
  <si>
    <t>MC ONOR PIZZERIA</t>
  </si>
  <si>
    <t>PILUTTI NICOLA</t>
  </si>
  <si>
    <t>VINERIA CICHETTERIA DA FULVIO</t>
  </si>
  <si>
    <t>PIZZA STELLA SNC</t>
  </si>
  <si>
    <t>STELLA</t>
  </si>
  <si>
    <t>PIZZAWAY SAS</t>
  </si>
  <si>
    <t>PIZZAWAY</t>
  </si>
  <si>
    <t>FONDAMENTA RIO MARIN O DEI GARZOTTI</t>
  </si>
  <si>
    <t>PIZZERIA AL CORSO SNC</t>
  </si>
  <si>
    <t>AL CORSO PIZZ.</t>
  </si>
  <si>
    <t>PIZZERIA DA PIERO SAS</t>
  </si>
  <si>
    <t>DA PIERO</t>
  </si>
  <si>
    <t>MARTEDI  POMERIGGIO  SABATO  MATTINO</t>
  </si>
  <si>
    <t>PIZZERIA LA MURA SRL</t>
  </si>
  <si>
    <t>LA MURA PIZZERIA</t>
  </si>
  <si>
    <t>PIZZERIA LAGUNA SNC</t>
  </si>
  <si>
    <t>PIZZERIA LAGUNA</t>
  </si>
  <si>
    <t>PIAZZALE BERNARDINO ZENDRINI</t>
  </si>
  <si>
    <t>PLEX CAFE' SAS</t>
  </si>
  <si>
    <t>PLEX</t>
  </si>
  <si>
    <t>VIA RICCARDO ZANDONAI</t>
  </si>
  <si>
    <t>PRIMO NORDEST SRL</t>
  </si>
  <si>
    <t>PUB68 SAS</t>
  </si>
  <si>
    <t>7 BEO</t>
  </si>
  <si>
    <t>PUNTO G VENEZIA SAS</t>
  </si>
  <si>
    <t>PUNTO G</t>
  </si>
  <si>
    <t>PUNTO ZERO SRL</t>
  </si>
  <si>
    <t>BISTRO'</t>
  </si>
  <si>
    <t>QUADRANTE SAS</t>
  </si>
  <si>
    <t>AL QUADRANTE</t>
  </si>
  <si>
    <t>QUEENBI SRL</t>
  </si>
  <si>
    <t>QB - QUANTO BASTA</t>
  </si>
  <si>
    <t>RAMPAZZO SNC DI FRANCO E STEFA</t>
  </si>
  <si>
    <t>GARIBALDI PIZZ.</t>
  </si>
  <si>
    <t>RE BIANCO SRL</t>
  </si>
  <si>
    <t>RICH RESTAURANT</t>
  </si>
  <si>
    <t>REMIDA SAS</t>
  </si>
  <si>
    <t>REMIDA</t>
  </si>
  <si>
    <t>PIAZZALE TRONCHETTO</t>
  </si>
  <si>
    <t>RENZI &amp; CO GROUP S.R.L.</t>
  </si>
  <si>
    <t>"TRATTORIA DA BRUNO"</t>
  </si>
  <si>
    <t>RINALDO SILVANA</t>
  </si>
  <si>
    <t>CAFE' CAFE'</t>
  </si>
  <si>
    <t>RISTORANTE DALLA MORA SRL</t>
  </si>
  <si>
    <t>DALLA MORA</t>
  </si>
  <si>
    <t>FONDAMENTA DANIELE MANIN</t>
  </si>
  <si>
    <t>RISTORANTE 008 SAS</t>
  </si>
  <si>
    <t>RISTORARTE SRL</t>
  </si>
  <si>
    <t>THE 80'S</t>
  </si>
  <si>
    <t>VIA DELL'AZOTO</t>
  </si>
  <si>
    <t>RISTORAZIONE DONAZZON A. SAS</t>
  </si>
  <si>
    <t>TOWER</t>
  </si>
  <si>
    <t>RISTOBAR BALBI</t>
  </si>
  <si>
    <t>RISTOBAR FERROFINI</t>
  </si>
  <si>
    <t>PIAZZETTA SAN MARCO</t>
  </si>
  <si>
    <t>RIZZO GRAN VIALE SNC</t>
  </si>
  <si>
    <t>RIZZO PANE</t>
  </si>
  <si>
    <t>RIZZO MARCELLA</t>
  </si>
  <si>
    <t>DOLCI ARMONIE</t>
  </si>
  <si>
    <t>RONCON DANIELE</t>
  </si>
  <si>
    <t>CHINELLATO</t>
  </si>
  <si>
    <t>CALLE DEI ALBANESI</t>
  </si>
  <si>
    <t>SALMASO SNC DI DANIE</t>
  </si>
  <si>
    <t>TRATTORIA PANDA</t>
  </si>
  <si>
    <t>VIA BOTTENIGO</t>
  </si>
  <si>
    <t>SALVAGNO CHIARA</t>
  </si>
  <si>
    <t>MAXI' FAMILY</t>
  </si>
  <si>
    <t>DOMENICA    MERCOLEDI  MATTINO</t>
  </si>
  <si>
    <t>SALVALAGGIO ROBERTO &amp; C. SAS</t>
  </si>
  <si>
    <t>SALVALAGGIO</t>
  </si>
  <si>
    <t xml:space="preserve">SANTA CROCE S.A.S. DI COLOTTI </t>
  </si>
  <si>
    <t xml:space="preserve">ANGOLO DEL GUSTO </t>
  </si>
  <si>
    <t>SANTANGELO BAR SNC</t>
  </si>
  <si>
    <t>CAFFE' BRASILIA</t>
  </si>
  <si>
    <t>SARTORI MICHELE</t>
  </si>
  <si>
    <t>EL BARETTO</t>
  </si>
  <si>
    <t>VIA CANEVE</t>
  </si>
  <si>
    <t>SAVASTANO MARCO</t>
  </si>
  <si>
    <t>TRATTORIA PIZZERIA POSITANO</t>
  </si>
  <si>
    <t>S.BARTOLOMEO SRL</t>
  </si>
  <si>
    <t>S.BARTOLOMEO RIST.</t>
  </si>
  <si>
    <t>CALLE BISSA</t>
  </si>
  <si>
    <t>SCARPA DAVIDE</t>
  </si>
  <si>
    <t>DA DAVIDE</t>
  </si>
  <si>
    <t>SELEA SNC</t>
  </si>
  <si>
    <t>SPRITZ</t>
  </si>
  <si>
    <t>S.G.P. VENEZIA</t>
  </si>
  <si>
    <t>VIA CA' ROSSA</t>
  </si>
  <si>
    <t>VIA ETTORE TITO</t>
  </si>
  <si>
    <t>SIMONATO RAFFAELLA</t>
  </si>
  <si>
    <t xml:space="preserve">DA ITALO </t>
  </si>
  <si>
    <t>BURGER KING VENEZIA</t>
  </si>
  <si>
    <t>SIRMA SRLS</t>
  </si>
  <si>
    <t>ESQUINA</t>
  </si>
  <si>
    <t>VIA ANTONIO LAZZARI</t>
  </si>
  <si>
    <t>OSPEDALE DELL'ANGELO</t>
  </si>
  <si>
    <t>SOLE LUNA SNC</t>
  </si>
  <si>
    <t>A LA CAMPANA</t>
  </si>
  <si>
    <t>CALLE DEI FABBRI</t>
  </si>
  <si>
    <t>SOLEMARKET SAS</t>
  </si>
  <si>
    <t>SOTTO IL SEGNO SNC</t>
  </si>
  <si>
    <t>SOTTO IL SEGNO PIZZ.</t>
  </si>
  <si>
    <t>VIA AMERIGO VESPUCCI</t>
  </si>
  <si>
    <t>SPIDEY SRL</t>
  </si>
  <si>
    <t>AE OCHE PIZZERIA</t>
  </si>
  <si>
    <t>SUPERMERCATO VIGNOTTO SNC</t>
  </si>
  <si>
    <t>VIGNOTTO</t>
  </si>
  <si>
    <t>VIA DE LE MOTTE</t>
  </si>
  <si>
    <t>TESO MAURO</t>
  </si>
  <si>
    <t>MIO</t>
  </si>
  <si>
    <t>CALLE FREZZERIA</t>
  </si>
  <si>
    <t>VENICEAT</t>
  </si>
  <si>
    <t>TO.BA.LA. SNC</t>
  </si>
  <si>
    <t>PIZZA &amp; DELIZIE</t>
  </si>
  <si>
    <t>TOBY SAS</t>
  </si>
  <si>
    <t>ALLA CITA</t>
  </si>
  <si>
    <t>TONIOLO ROBERTO</t>
  </si>
  <si>
    <t>WHISKY</t>
  </si>
  <si>
    <t>VIA GIOVANNI QUERINI</t>
  </si>
  <si>
    <t>TRATT. ALLA PESA SNC</t>
  </si>
  <si>
    <t>TRATTORIA ALLA PESA</t>
  </si>
  <si>
    <t>TRATTORIA ALLA BARENA SNC</t>
  </si>
  <si>
    <t>ALLA BARENA-DAI FIOI PIZZERIA</t>
  </si>
  <si>
    <t>VIA MORANZANI</t>
  </si>
  <si>
    <t>TRATTORIA DAL BOCOETO SNC</t>
  </si>
  <si>
    <t>DAL BOCOETO</t>
  </si>
  <si>
    <t>TRATTORIA DALMAZIA S.N.C.</t>
  </si>
  <si>
    <t>TRATTORIA DALMAZIA</t>
  </si>
  <si>
    <t>VIA RAMPA CAVALCAVIA</t>
  </si>
  <si>
    <t>WIENER HAUSE</t>
  </si>
  <si>
    <t>UNICO SRL</t>
  </si>
  <si>
    <t>UNICO</t>
  </si>
  <si>
    <t>FAMILA MESTRE</t>
  </si>
  <si>
    <t>VIA EUGENIO CARLO PERTINI</t>
  </si>
  <si>
    <t>UNOXUNO SNC</t>
  </si>
  <si>
    <t>CAFE' FILO'</t>
  </si>
  <si>
    <t>VACCARI GIOVANNI</t>
  </si>
  <si>
    <t>CASA BONITA PIZZERIA</t>
  </si>
  <si>
    <t>FONDAMENTA SAVORGNAN</t>
  </si>
  <si>
    <t>VAGONEAZZURRO SRL</t>
  </si>
  <si>
    <t xml:space="preserve"> STAZIONE FS</t>
  </si>
  <si>
    <t>VEDOVA ANDREA</t>
  </si>
  <si>
    <t>BELLINAZZI</t>
  </si>
  <si>
    <t>VENETIAN TRADE SRL</t>
  </si>
  <si>
    <t>ALICE PIZZA</t>
  </si>
  <si>
    <t>VERNIER GIANNI</t>
  </si>
  <si>
    <t>DA GIANNI SALUMI E FORMAGGI</t>
  </si>
  <si>
    <t>WINE BAR TEAMO SNC</t>
  </si>
  <si>
    <t>TEAMO VENEZIA</t>
  </si>
  <si>
    <t>WUNDER BAR SNC</t>
  </si>
  <si>
    <t>WUNDER</t>
  </si>
  <si>
    <t>ZAMPIERI VALTER</t>
  </si>
  <si>
    <t>3 PONTI</t>
  </si>
  <si>
    <t>FONDAMENTA RIO NOVO</t>
  </si>
  <si>
    <t>ZANCHET &amp; C. SNC</t>
  </si>
  <si>
    <t>DA BEPI VENESIAN</t>
  </si>
  <si>
    <t>VIA SERNAGLIA</t>
  </si>
  <si>
    <t>ZANETTI GIULIANA</t>
  </si>
  <si>
    <t>ZANETTI</t>
  </si>
  <si>
    <t>ZANETTI SNC</t>
  </si>
  <si>
    <t>ZANETTI STEFANO SNC</t>
  </si>
  <si>
    <t>ZANETTI STEFANO</t>
  </si>
  <si>
    <t>ZANON &amp; CHIESURA SNC</t>
  </si>
  <si>
    <t>VIA DELLA GEOLOGIA</t>
  </si>
  <si>
    <t>ZANON  GIOVANNI</t>
  </si>
  <si>
    <t>DA UGO</t>
  </si>
  <si>
    <t>ZANZIBAR SNC</t>
  </si>
  <si>
    <t>ZANZIBAR</t>
  </si>
  <si>
    <t>ZARA S.N.C.</t>
  </si>
  <si>
    <t>AI BARI PIZZ.</t>
  </si>
  <si>
    <t>LISTADEI LISTA VECCHIA DEI BARI</t>
  </si>
  <si>
    <t>VENERDI  POMERIGGIO</t>
  </si>
  <si>
    <t>ZATTERE SNC</t>
  </si>
  <si>
    <t>CONAD CITY</t>
  </si>
  <si>
    <t>ZAZA' SNC</t>
  </si>
  <si>
    <t>HOSTARIA VITE ROSSA</t>
  </si>
  <si>
    <t>ZINATO MASSIMO</t>
  </si>
  <si>
    <t>041 SAS</t>
  </si>
  <si>
    <t>4 ELEMENTI SRL</t>
  </si>
  <si>
    <t>AI 4 ELEMENTI PIZZERIA</t>
  </si>
  <si>
    <t>VIA FRATELLI CAVANIS</t>
  </si>
  <si>
    <t>VIGONOVO</t>
  </si>
  <si>
    <t>SVTB SNC DI RETTORE FRANCESCA</t>
  </si>
  <si>
    <t>ROVIGO</t>
  </si>
  <si>
    <t>RO</t>
  </si>
  <si>
    <t>ADRIA</t>
  </si>
  <si>
    <t>PIAZZALE ROVIGNO</t>
  </si>
  <si>
    <t>VIA ARZERON</t>
  </si>
  <si>
    <t>CAFE' LIBERTY SNC</t>
  </si>
  <si>
    <t>LIBERTY CAFE'</t>
  </si>
  <si>
    <t>VIA RUZZINA</t>
  </si>
  <si>
    <t>RISTORANTE/TRETTORIA/OSTERIA/PIZZERIA</t>
  </si>
  <si>
    <t>VIA GIOVANNI AMENDOLA</t>
  </si>
  <si>
    <t>VIA EMANUELE FILIBERTO</t>
  </si>
  <si>
    <t>MAX ONE SRL</t>
  </si>
  <si>
    <t>LA BUSA</t>
  </si>
  <si>
    <t>VIA VOLTASCIROCCO</t>
  </si>
  <si>
    <t>TERRASSAN SIMONE</t>
  </si>
  <si>
    <t>UNCINO PUB PIZZERIA</t>
  </si>
  <si>
    <t>BISTRO' DI BUSIN LUCA E C. S.N</t>
  </si>
  <si>
    <t>BISTRO</t>
  </si>
  <si>
    <t>BADIA POLESINE</t>
  </si>
  <si>
    <t>VIA SAN GIOVANNI</t>
  </si>
  <si>
    <t>LA LOCANDA SNC</t>
  </si>
  <si>
    <t>LA LOCANDA</t>
  </si>
  <si>
    <t>PIAZZA FORO BOARIO</t>
  </si>
  <si>
    <t>GIACCIANO CON BARUCHELLA</t>
  </si>
  <si>
    <t>VIA ORLANDO SCAVAZZA</t>
  </si>
  <si>
    <t>LENDINARA</t>
  </si>
  <si>
    <t>VIA CANOZI</t>
  </si>
  <si>
    <t>VIA SANTA MARIA NUOVA</t>
  </si>
  <si>
    <t>TRIVELLATO GIOVANNA</t>
  </si>
  <si>
    <t>TRIVELLATO</t>
  </si>
  <si>
    <t>VIA DON AMEDEO SAVOJ</t>
  </si>
  <si>
    <t>FAMILA LENDINARA</t>
  </si>
  <si>
    <t>OCCHIOBELLO</t>
  </si>
  <si>
    <t>VIA ERIDANIA</t>
  </si>
  <si>
    <t>VIA DELL'UNITA' D'ITALIA</t>
  </si>
  <si>
    <t>VIA MAESTRI DEL LAVORO</t>
  </si>
  <si>
    <t>LODO MARIO</t>
  </si>
  <si>
    <t>RISTORANTE PIZZ. TEATRO</t>
  </si>
  <si>
    <t>PAPOZZE</t>
  </si>
  <si>
    <t>GAZZETTA SAS</t>
  </si>
  <si>
    <t>PORTO VIRO</t>
  </si>
  <si>
    <t>VIA DOSSO</t>
  </si>
  <si>
    <t>ROSOLINA</t>
  </si>
  <si>
    <t>BAR VITTORIA DI JANETTE MARANG</t>
  </si>
  <si>
    <t>BAR VITTORIA</t>
  </si>
  <si>
    <t>VIALE DEL POPOLO</t>
  </si>
  <si>
    <t>STIGUSTI SRL</t>
  </si>
  <si>
    <t>STIGUSTI</t>
  </si>
  <si>
    <t>AL FOGOLAR S.N.C.</t>
  </si>
  <si>
    <t>VIALE PORTA PO</t>
  </si>
  <si>
    <t>VIALE PORTA ADIGE</t>
  </si>
  <si>
    <t>BALDO AMEDEO</t>
  </si>
  <si>
    <t>ETNA</t>
  </si>
  <si>
    <t>BASSANI GIAMPAOLO</t>
  </si>
  <si>
    <t>CELIO</t>
  </si>
  <si>
    <t>VIA CELIO</t>
  </si>
  <si>
    <t>BREGOLIN NICO</t>
  </si>
  <si>
    <t>BARIBAL</t>
  </si>
  <si>
    <t>VIA GIOVANNI MIANI</t>
  </si>
  <si>
    <t>BUSINARO MIRELLA</t>
  </si>
  <si>
    <t>MENSA DON BOSCO</t>
  </si>
  <si>
    <t>VIALE GUGLIELMO MARCONI</t>
  </si>
  <si>
    <t>CAFFE' NAZIONALE SRL</t>
  </si>
  <si>
    <t>CAFFE' NAZIONALE</t>
  </si>
  <si>
    <t>CANALETTO GROUP SRLS</t>
  </si>
  <si>
    <t>CANALETTO</t>
  </si>
  <si>
    <t>VIA DEL SACRO CUORE</t>
  </si>
  <si>
    <t>COSTANTIN RENATA</t>
  </si>
  <si>
    <t>VESUVIO PIZZERIA</t>
  </si>
  <si>
    <t>VIA SILVESTRI</t>
  </si>
  <si>
    <t>CRILANI SRL UNIPERSONALE</t>
  </si>
  <si>
    <t>OSTERIA DEI BONFI</t>
  </si>
  <si>
    <t>VIA NICOLA BADALONI</t>
  </si>
  <si>
    <t>DUETTO SNC</t>
  </si>
  <si>
    <t>COMPANY DUE</t>
  </si>
  <si>
    <t>VIALE DELLE INDUSTRIE</t>
  </si>
  <si>
    <t>FASHION CAFE' S.R.L.</t>
  </si>
  <si>
    <t>PASTICCERIA DEI FRATI</t>
  </si>
  <si>
    <t>VIA DEI CAPPUCCINI</t>
  </si>
  <si>
    <t>FERRARI DR.GIOVANNI</t>
  </si>
  <si>
    <t>AL CORNO</t>
  </si>
  <si>
    <t>PIAZZETTA SOTTOTENENTE APPIOTTI</t>
  </si>
  <si>
    <t>F.LLI FANCHIN SNC</t>
  </si>
  <si>
    <t>F.LLI FANCHIN</t>
  </si>
  <si>
    <t>MERCOLEDI  TUTTO IL GIORNO  DOMENICA  TUTTO IL GIORNO</t>
  </si>
  <si>
    <t>IL SAGITTARIO SNC</t>
  </si>
  <si>
    <t>IL SAGITTARIO</t>
  </si>
  <si>
    <t>VIA LEVICO</t>
  </si>
  <si>
    <t>JEAN PIERRE SAS</t>
  </si>
  <si>
    <t>RISTORANTE JEAN PIERRE</t>
  </si>
  <si>
    <t>VIALE COMBATTENTI ALLEATI D'EUROPA</t>
  </si>
  <si>
    <t>LA BRASILIANA SNC</t>
  </si>
  <si>
    <t>CENTRALBAR</t>
  </si>
  <si>
    <t>LA FENICE DI TRAMBAIOLLI SNC</t>
  </si>
  <si>
    <t>VIA SCIENZA E TECNICA</t>
  </si>
  <si>
    <t>MAD SRL</t>
  </si>
  <si>
    <t>CASA DEL POLLO</t>
  </si>
  <si>
    <t>VIA PONTE DELLA RODA</t>
  </si>
  <si>
    <t>MAXI BAR</t>
  </si>
  <si>
    <t>MARCHESELLI SRL</t>
  </si>
  <si>
    <t>HOTEL CRISTALLO</t>
  </si>
  <si>
    <t>ORVA SNC</t>
  </si>
  <si>
    <t>OSTERIA AI TRANI SNC</t>
  </si>
  <si>
    <t>AI TRANI</t>
  </si>
  <si>
    <t>VIA CONTE CAMILLO BENSO DI CAVOUR</t>
  </si>
  <si>
    <t>PERON RENATA</t>
  </si>
  <si>
    <t>SERENELLA</t>
  </si>
  <si>
    <t>VIALE REGINA MARGHERITA</t>
  </si>
  <si>
    <t>SAGHATCHI ALI REZA</t>
  </si>
  <si>
    <t>TAVERNA</t>
  </si>
  <si>
    <t>PIAZZA UMBERTO MERLIN</t>
  </si>
  <si>
    <t>TURANDOT S.R.L.</t>
  </si>
  <si>
    <t>CAFFE' VENEZZE</t>
  </si>
  <si>
    <t>FAMILA ROVIGO</t>
  </si>
  <si>
    <t>VIA VIII MARZO</t>
  </si>
  <si>
    <t>MAZZUCATO DONATELLA</t>
  </si>
  <si>
    <t>CA' DONA' PIZZERIA</t>
  </si>
  <si>
    <t>SAN MARTINO DI VENEZZE</t>
  </si>
  <si>
    <t>VIA CA' DONA'</t>
  </si>
  <si>
    <t>LUNEDI    MARTEDI  POMERIGGIO</t>
  </si>
  <si>
    <t>SPACE BAR E SALA GIOCHI SRL</t>
  </si>
  <si>
    <t>ENI CAFFE'</t>
  </si>
  <si>
    <t>TAGLIO DI PO</t>
  </si>
  <si>
    <t>TRATT.DA NADAE DI BORSETTO G.E</t>
  </si>
  <si>
    <t>DA NADAE</t>
  </si>
  <si>
    <t>VILLADOSE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</si>
</sst>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2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1" fillId="8" borderId="1" xfId="0" applyFont="1" applyFill="1" applyBorder="1"/>
    <xf numFmtId="0" fontId="0" fillId="14" borderId="1" xfId="0" applyFill="1" applyBorder="1"/>
    <xf numFmtId="0" fontId="0" fillId="15" borderId="1" xfId="0" applyFill="1" applyBorder="1"/>
    <xf numFmtId="0" fontId="3" fillId="0" borderId="0" xfId="0" applyFont="1" applyAlignment="1">
      <alignment horizontal="center"/>
    </xf>
    <xf numFmtId="0" fontId="1" fillId="4" borderId="1" xfId="0" applyFont="1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1" fillId="13" borderId="1" xfId="0" applyFont="1" applyFill="1" applyBorder="1"/>
    <xf numFmtId="49" fontId="0" fillId="0" borderId="0" xfId="0" applyNumberFormat="1"/>
    <xf numFmtId="49" fontId="1" fillId="2" borderId="1" xfId="0" applyNumberFormat="1" applyFont="1" applyFill="1" applyBorder="1"/>
    <xf numFmtId="49" fontId="0" fillId="3" borderId="1" xfId="0" applyNumberFormat="1" applyFill="1" applyBorder="1"/>
    <xf numFmtId="49" fontId="0" fillId="4" borderId="1" xfId="0" applyNumberFormat="1" applyFill="1" applyBorder="1"/>
    <xf numFmtId="49" fontId="0" fillId="5" borderId="1" xfId="0" applyNumberFormat="1" applyFill="1" applyBorder="1"/>
    <xf numFmtId="49" fontId="0" fillId="6" borderId="1" xfId="0" applyNumberFormat="1" applyFill="1" applyBorder="1"/>
    <xf numFmtId="49" fontId="0" fillId="7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532"/>
  <sheetViews>
    <sheetView tabSelected="1" workbookViewId="0">
      <selection activeCell="B24" sqref="B24"/>
    </sheetView>
  </sheetViews>
  <sheetFormatPr defaultRowHeight="14.4" x14ac:dyDescent="0.3"/>
  <cols>
    <col min="1" max="1" width="4" bestFit="1" customWidth="1"/>
    <col min="2" max="2" width="32.5546875" bestFit="1" customWidth="1"/>
    <col min="3" max="3" width="30.5546875" bestFit="1" customWidth="1"/>
    <col min="4" max="4" width="13.88671875" bestFit="1" customWidth="1"/>
    <col min="5" max="5" width="30.6640625" bestFit="1" customWidth="1"/>
    <col min="6" max="6" width="38.44140625" bestFit="1" customWidth="1"/>
    <col min="7" max="7" width="8.6640625" bestFit="1" customWidth="1"/>
    <col min="8" max="8" width="6" style="23" bestFit="1" customWidth="1"/>
    <col min="9" max="9" width="8.33203125" bestFit="1" customWidth="1"/>
    <col min="10" max="10" width="42.5546875" bestFit="1" customWidth="1"/>
    <col min="11" max="11" width="50.44140625" bestFit="1" customWidth="1"/>
  </cols>
  <sheetData>
    <row r="2" spans="1:11" ht="18" x14ac:dyDescent="0.35">
      <c r="F2" s="1" t="s">
        <v>330</v>
      </c>
    </row>
    <row r="4" spans="1:11" x14ac:dyDescent="0.3">
      <c r="A4" s="2" t="s">
        <v>929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4" t="s">
        <v>6</v>
      </c>
      <c r="I4" s="2" t="s">
        <v>7</v>
      </c>
      <c r="J4" s="2" t="s">
        <v>930</v>
      </c>
      <c r="K4" s="2" t="s">
        <v>8</v>
      </c>
    </row>
    <row r="5" spans="1:11" x14ac:dyDescent="0.3">
      <c r="A5" s="3">
        <v>1</v>
      </c>
      <c r="B5" s="3" t="s">
        <v>931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932</v>
      </c>
      <c r="H5" s="25" t="s">
        <v>933</v>
      </c>
      <c r="I5" s="3" t="s">
        <v>13</v>
      </c>
      <c r="J5" s="3" t="s">
        <v>927</v>
      </c>
      <c r="K5" s="3" t="s">
        <v>14</v>
      </c>
    </row>
    <row r="6" spans="1:11" x14ac:dyDescent="0.3">
      <c r="A6" s="4">
        <v>2</v>
      </c>
      <c r="B6" s="4" t="s">
        <v>934</v>
      </c>
      <c r="C6" s="4" t="s">
        <v>15</v>
      </c>
      <c r="D6" s="4" t="s">
        <v>10</v>
      </c>
      <c r="E6" s="4" t="s">
        <v>11</v>
      </c>
      <c r="F6" s="4" t="s">
        <v>16</v>
      </c>
      <c r="G6" s="4" t="s">
        <v>935</v>
      </c>
      <c r="H6" s="26" t="s">
        <v>933</v>
      </c>
      <c r="I6" s="4" t="s">
        <v>13</v>
      </c>
      <c r="J6" s="4" t="s">
        <v>926</v>
      </c>
      <c r="K6" s="4" t="s">
        <v>17</v>
      </c>
    </row>
    <row r="7" spans="1:11" x14ac:dyDescent="0.3">
      <c r="A7" s="5">
        <v>3</v>
      </c>
      <c r="B7" s="5" t="s">
        <v>936</v>
      </c>
      <c r="C7" s="5" t="s">
        <v>18</v>
      </c>
      <c r="D7" s="5" t="s">
        <v>10</v>
      </c>
      <c r="E7" s="5" t="s">
        <v>11</v>
      </c>
      <c r="F7" s="5" t="s">
        <v>19</v>
      </c>
      <c r="G7" s="5" t="s">
        <v>935</v>
      </c>
      <c r="H7" s="27" t="s">
        <v>933</v>
      </c>
      <c r="I7" s="5" t="s">
        <v>13</v>
      </c>
      <c r="J7" s="5" t="s">
        <v>925</v>
      </c>
      <c r="K7" s="5" t="s">
        <v>20</v>
      </c>
    </row>
    <row r="8" spans="1:11" x14ac:dyDescent="0.3">
      <c r="A8" s="4">
        <v>4</v>
      </c>
      <c r="B8" s="4" t="s">
        <v>937</v>
      </c>
      <c r="C8" s="4" t="s">
        <v>21</v>
      </c>
      <c r="D8" s="4" t="s">
        <v>10</v>
      </c>
      <c r="E8" s="4" t="s">
        <v>11</v>
      </c>
      <c r="F8" s="4" t="s">
        <v>16</v>
      </c>
      <c r="G8" s="4" t="s">
        <v>938</v>
      </c>
      <c r="H8" s="26" t="s">
        <v>933</v>
      </c>
      <c r="I8" s="4" t="s">
        <v>13</v>
      </c>
      <c r="J8" s="4" t="s">
        <v>926</v>
      </c>
      <c r="K8" s="4" t="s">
        <v>20</v>
      </c>
    </row>
    <row r="9" spans="1:11" x14ac:dyDescent="0.3">
      <c r="A9" s="6">
        <v>5</v>
      </c>
      <c r="B9" s="6" t="s">
        <v>939</v>
      </c>
      <c r="C9" s="6" t="s">
        <v>22</v>
      </c>
      <c r="D9" s="6" t="s">
        <v>10</v>
      </c>
      <c r="E9" s="6" t="s">
        <v>11</v>
      </c>
      <c r="F9" s="6" t="s">
        <v>23</v>
      </c>
      <c r="G9" s="6" t="s">
        <v>940</v>
      </c>
      <c r="H9" s="28" t="s">
        <v>933</v>
      </c>
      <c r="I9" s="6" t="s">
        <v>13</v>
      </c>
      <c r="J9" s="6" t="s">
        <v>928</v>
      </c>
      <c r="K9" s="6" t="s">
        <v>14</v>
      </c>
    </row>
    <row r="10" spans="1:11" x14ac:dyDescent="0.3">
      <c r="A10" s="3">
        <v>6</v>
      </c>
      <c r="B10" s="3" t="s">
        <v>941</v>
      </c>
      <c r="C10" s="3" t="s">
        <v>24</v>
      </c>
      <c r="D10" s="3" t="s">
        <v>10</v>
      </c>
      <c r="E10" s="3" t="s">
        <v>11</v>
      </c>
      <c r="F10" s="3" t="s">
        <v>16</v>
      </c>
      <c r="G10" s="3">
        <v>73</v>
      </c>
      <c r="H10" s="25" t="s">
        <v>933</v>
      </c>
      <c r="I10" s="3" t="s">
        <v>13</v>
      </c>
      <c r="J10" s="3" t="s">
        <v>927</v>
      </c>
      <c r="K10" s="3" t="s">
        <v>14</v>
      </c>
    </row>
    <row r="11" spans="1:11" x14ac:dyDescent="0.3">
      <c r="A11" s="5">
        <v>7</v>
      </c>
      <c r="B11" s="5" t="s">
        <v>943</v>
      </c>
      <c r="C11" s="5" t="s">
        <v>25</v>
      </c>
      <c r="D11" s="5" t="s">
        <v>10</v>
      </c>
      <c r="E11" s="5" t="s">
        <v>11</v>
      </c>
      <c r="F11" s="5" t="s">
        <v>26</v>
      </c>
      <c r="G11" s="5" t="s">
        <v>944</v>
      </c>
      <c r="H11" s="27" t="s">
        <v>933</v>
      </c>
      <c r="I11" s="5" t="s">
        <v>13</v>
      </c>
      <c r="J11" s="5" t="s">
        <v>925</v>
      </c>
      <c r="K11" s="5" t="s">
        <v>27</v>
      </c>
    </row>
    <row r="12" spans="1:11" x14ac:dyDescent="0.3">
      <c r="A12" s="4">
        <v>8</v>
      </c>
      <c r="B12" s="4" t="s">
        <v>945</v>
      </c>
      <c r="C12" s="4" t="s">
        <v>28</v>
      </c>
      <c r="D12" s="4" t="s">
        <v>10</v>
      </c>
      <c r="E12" s="4" t="s">
        <v>11</v>
      </c>
      <c r="F12" s="4" t="s">
        <v>29</v>
      </c>
      <c r="G12" s="4" t="s">
        <v>946</v>
      </c>
      <c r="H12" s="26" t="s">
        <v>933</v>
      </c>
      <c r="I12" s="4" t="s">
        <v>13</v>
      </c>
      <c r="J12" s="4" t="s">
        <v>926</v>
      </c>
      <c r="K12" s="4" t="s">
        <v>30</v>
      </c>
    </row>
    <row r="13" spans="1:11" x14ac:dyDescent="0.3">
      <c r="A13" s="5">
        <v>9</v>
      </c>
      <c r="B13" s="5" t="s">
        <v>947</v>
      </c>
      <c r="C13" s="5" t="s">
        <v>31</v>
      </c>
      <c r="D13" s="5" t="s">
        <v>10</v>
      </c>
      <c r="E13" s="5" t="s">
        <v>11</v>
      </c>
      <c r="F13" s="5" t="s">
        <v>32</v>
      </c>
      <c r="G13" s="5" t="s">
        <v>948</v>
      </c>
      <c r="H13" s="27" t="s">
        <v>933</v>
      </c>
      <c r="I13" s="5" t="s">
        <v>13</v>
      </c>
      <c r="J13" s="5" t="s">
        <v>925</v>
      </c>
      <c r="K13" s="5" t="s">
        <v>14</v>
      </c>
    </row>
    <row r="14" spans="1:11" x14ac:dyDescent="0.3">
      <c r="A14" s="5">
        <v>10</v>
      </c>
      <c r="B14" s="5" t="s">
        <v>949</v>
      </c>
      <c r="C14" s="5" t="s">
        <v>33</v>
      </c>
      <c r="D14" s="5" t="s">
        <v>10</v>
      </c>
      <c r="E14" s="5" t="s">
        <v>34</v>
      </c>
      <c r="F14" s="5" t="s">
        <v>35</v>
      </c>
      <c r="G14" s="5" t="s">
        <v>950</v>
      </c>
      <c r="H14" s="27" t="s">
        <v>951</v>
      </c>
      <c r="I14" s="5" t="s">
        <v>13</v>
      </c>
      <c r="J14" s="5" t="s">
        <v>925</v>
      </c>
      <c r="K14" s="5" t="s">
        <v>36</v>
      </c>
    </row>
    <row r="15" spans="1:11" x14ac:dyDescent="0.3">
      <c r="A15" s="3">
        <v>11</v>
      </c>
      <c r="B15" s="3" t="s">
        <v>952</v>
      </c>
      <c r="C15" s="3" t="s">
        <v>37</v>
      </c>
      <c r="D15" s="3" t="s">
        <v>10</v>
      </c>
      <c r="E15" s="3" t="s">
        <v>38</v>
      </c>
      <c r="F15" s="3" t="s">
        <v>39</v>
      </c>
      <c r="G15" s="3" t="s">
        <v>953</v>
      </c>
      <c r="H15" s="25" t="s">
        <v>954</v>
      </c>
      <c r="I15" s="3" t="s">
        <v>13</v>
      </c>
      <c r="J15" s="3" t="s">
        <v>927</v>
      </c>
      <c r="K15" s="3" t="s">
        <v>20</v>
      </c>
    </row>
    <row r="16" spans="1:11" x14ac:dyDescent="0.3">
      <c r="A16" s="3">
        <v>12</v>
      </c>
      <c r="B16" s="3" t="s">
        <v>931</v>
      </c>
      <c r="C16" s="3" t="s">
        <v>9</v>
      </c>
      <c r="D16" s="3" t="s">
        <v>10</v>
      </c>
      <c r="E16" s="3" t="s">
        <v>38</v>
      </c>
      <c r="F16" s="3" t="s">
        <v>40</v>
      </c>
      <c r="G16" s="3" t="s">
        <v>955</v>
      </c>
      <c r="H16" s="25" t="s">
        <v>954</v>
      </c>
      <c r="I16" s="3" t="s">
        <v>13</v>
      </c>
      <c r="J16" s="3" t="s">
        <v>927</v>
      </c>
      <c r="K16" s="3" t="s">
        <v>20</v>
      </c>
    </row>
    <row r="17" spans="1:11" x14ac:dyDescent="0.3">
      <c r="A17" s="4">
        <v>13</v>
      </c>
      <c r="B17" s="4" t="s">
        <v>956</v>
      </c>
      <c r="C17" s="4" t="s">
        <v>41</v>
      </c>
      <c r="D17" s="4" t="s">
        <v>10</v>
      </c>
      <c r="E17" s="4" t="s">
        <v>38</v>
      </c>
      <c r="F17" s="4" t="s">
        <v>42</v>
      </c>
      <c r="G17" s="4" t="s">
        <v>957</v>
      </c>
      <c r="H17" s="26" t="s">
        <v>954</v>
      </c>
      <c r="I17" s="4" t="s">
        <v>13</v>
      </c>
      <c r="J17" s="4" t="s">
        <v>926</v>
      </c>
      <c r="K17" s="4" t="s">
        <v>43</v>
      </c>
    </row>
    <row r="18" spans="1:11" x14ac:dyDescent="0.3">
      <c r="A18" s="4">
        <v>14</v>
      </c>
      <c r="B18" s="4" t="s">
        <v>958</v>
      </c>
      <c r="C18" s="4" t="s">
        <v>44</v>
      </c>
      <c r="D18" s="4" t="s">
        <v>10</v>
      </c>
      <c r="E18" s="4" t="s">
        <v>38</v>
      </c>
      <c r="F18" s="4" t="s">
        <v>45</v>
      </c>
      <c r="G18" s="4" t="s">
        <v>955</v>
      </c>
      <c r="H18" s="26" t="s">
        <v>954</v>
      </c>
      <c r="I18" s="4" t="s">
        <v>13</v>
      </c>
      <c r="J18" s="4" t="s">
        <v>926</v>
      </c>
      <c r="K18" s="4" t="s">
        <v>14</v>
      </c>
    </row>
    <row r="19" spans="1:11" x14ac:dyDescent="0.3">
      <c r="A19" s="4">
        <v>15</v>
      </c>
      <c r="B19" s="4" t="s">
        <v>959</v>
      </c>
      <c r="C19" s="4" t="s">
        <v>46</v>
      </c>
      <c r="D19" s="4" t="s">
        <v>10</v>
      </c>
      <c r="E19" s="4" t="s">
        <v>38</v>
      </c>
      <c r="F19" s="4" t="s">
        <v>40</v>
      </c>
      <c r="G19" s="4" t="s">
        <v>960</v>
      </c>
      <c r="H19" s="26" t="s">
        <v>954</v>
      </c>
      <c r="I19" s="4" t="s">
        <v>13</v>
      </c>
      <c r="J19" s="4" t="s">
        <v>926</v>
      </c>
      <c r="K19" s="4" t="s">
        <v>14</v>
      </c>
    </row>
    <row r="20" spans="1:11" x14ac:dyDescent="0.3">
      <c r="A20" s="4">
        <v>16</v>
      </c>
      <c r="B20" s="4" t="s">
        <v>961</v>
      </c>
      <c r="C20" s="4" t="s">
        <v>47</v>
      </c>
      <c r="D20" s="4" t="s">
        <v>10</v>
      </c>
      <c r="E20" s="4" t="s">
        <v>38</v>
      </c>
      <c r="F20" s="4" t="s">
        <v>48</v>
      </c>
      <c r="G20" s="4" t="s">
        <v>962</v>
      </c>
      <c r="H20" s="26" t="s">
        <v>954</v>
      </c>
      <c r="I20" s="4" t="s">
        <v>13</v>
      </c>
      <c r="J20" s="4" t="s">
        <v>926</v>
      </c>
      <c r="K20" s="4" t="s">
        <v>14</v>
      </c>
    </row>
    <row r="21" spans="1:11" x14ac:dyDescent="0.3">
      <c r="A21" s="4">
        <v>17</v>
      </c>
      <c r="B21" s="4" t="s">
        <v>963</v>
      </c>
      <c r="C21" s="4" t="s">
        <v>49</v>
      </c>
      <c r="D21" s="4" t="s">
        <v>10</v>
      </c>
      <c r="E21" s="4" t="s">
        <v>38</v>
      </c>
      <c r="F21" s="4" t="s">
        <v>40</v>
      </c>
      <c r="G21" s="4" t="s">
        <v>955</v>
      </c>
      <c r="H21" s="26" t="s">
        <v>954</v>
      </c>
      <c r="I21" s="4" t="s">
        <v>13</v>
      </c>
      <c r="J21" s="4" t="s">
        <v>926</v>
      </c>
      <c r="K21" s="4" t="s">
        <v>14</v>
      </c>
    </row>
    <row r="22" spans="1:11" x14ac:dyDescent="0.3">
      <c r="A22" s="5">
        <v>18</v>
      </c>
      <c r="B22" s="5" t="s">
        <v>964</v>
      </c>
      <c r="C22" s="5" t="s">
        <v>50</v>
      </c>
      <c r="D22" s="5" t="s">
        <v>10</v>
      </c>
      <c r="E22" s="5" t="s">
        <v>38</v>
      </c>
      <c r="F22" s="5" t="s">
        <v>51</v>
      </c>
      <c r="G22" s="5" t="s">
        <v>965</v>
      </c>
      <c r="H22" s="27" t="s">
        <v>954</v>
      </c>
      <c r="I22" s="5" t="s">
        <v>13</v>
      </c>
      <c r="J22" s="5" t="s">
        <v>925</v>
      </c>
      <c r="K22" s="5" t="s">
        <v>43</v>
      </c>
    </row>
    <row r="23" spans="1:11" x14ac:dyDescent="0.3">
      <c r="A23" s="3">
        <v>19</v>
      </c>
      <c r="B23" s="3" t="s">
        <v>966</v>
      </c>
      <c r="C23" s="3" t="s">
        <v>52</v>
      </c>
      <c r="D23" s="3" t="s">
        <v>10</v>
      </c>
      <c r="E23" s="3" t="s">
        <v>38</v>
      </c>
      <c r="F23" s="3" t="s">
        <v>53</v>
      </c>
      <c r="G23" s="3" t="s">
        <v>967</v>
      </c>
      <c r="H23" s="25" t="s">
        <v>954</v>
      </c>
      <c r="I23" s="3" t="s">
        <v>13</v>
      </c>
      <c r="J23" s="3" t="s">
        <v>927</v>
      </c>
      <c r="K23" s="3" t="s">
        <v>14</v>
      </c>
    </row>
    <row r="24" spans="1:11" x14ac:dyDescent="0.3">
      <c r="A24" s="3">
        <v>20</v>
      </c>
      <c r="B24" s="3" t="s">
        <v>931</v>
      </c>
      <c r="C24" s="3" t="s">
        <v>54</v>
      </c>
      <c r="D24" s="3" t="s">
        <v>10</v>
      </c>
      <c r="E24" s="3" t="s">
        <v>55</v>
      </c>
      <c r="F24" s="3" t="s">
        <v>48</v>
      </c>
      <c r="G24" s="3" t="s">
        <v>968</v>
      </c>
      <c r="H24" s="25" t="s">
        <v>969</v>
      </c>
      <c r="I24" s="3" t="s">
        <v>13</v>
      </c>
      <c r="J24" s="3" t="s">
        <v>927</v>
      </c>
      <c r="K24" s="3" t="s">
        <v>14</v>
      </c>
    </row>
    <row r="25" spans="1:11" x14ac:dyDescent="0.3">
      <c r="A25" s="5">
        <v>21</v>
      </c>
      <c r="B25" s="5" t="s">
        <v>970</v>
      </c>
      <c r="C25" s="5" t="s">
        <v>56</v>
      </c>
      <c r="D25" s="5" t="s">
        <v>10</v>
      </c>
      <c r="E25" s="5" t="s">
        <v>57</v>
      </c>
      <c r="F25" s="5" t="s">
        <v>48</v>
      </c>
      <c r="G25" s="5" t="s">
        <v>971</v>
      </c>
      <c r="H25" s="27" t="s">
        <v>954</v>
      </c>
      <c r="I25" s="5" t="s">
        <v>13</v>
      </c>
      <c r="J25" s="5" t="s">
        <v>925</v>
      </c>
      <c r="K25" s="5" t="s">
        <v>58</v>
      </c>
    </row>
    <row r="26" spans="1:11" x14ac:dyDescent="0.3">
      <c r="A26" s="4">
        <v>22</v>
      </c>
      <c r="B26" s="4" t="s">
        <v>972</v>
      </c>
      <c r="C26" s="4" t="s">
        <v>59</v>
      </c>
      <c r="D26" s="4" t="s">
        <v>10</v>
      </c>
      <c r="E26" s="4" t="s">
        <v>60</v>
      </c>
      <c r="F26" s="4" t="s">
        <v>61</v>
      </c>
      <c r="G26" s="4" t="s">
        <v>973</v>
      </c>
      <c r="H26" s="26" t="s">
        <v>974</v>
      </c>
      <c r="I26" s="4" t="s">
        <v>13</v>
      </c>
      <c r="J26" s="4" t="s">
        <v>926</v>
      </c>
      <c r="K26" s="4" t="s">
        <v>62</v>
      </c>
    </row>
    <row r="27" spans="1:11" x14ac:dyDescent="0.3">
      <c r="A27" s="5">
        <v>23</v>
      </c>
      <c r="B27" s="5" t="s">
        <v>975</v>
      </c>
      <c r="C27" s="5" t="s">
        <v>63</v>
      </c>
      <c r="D27" s="5" t="s">
        <v>10</v>
      </c>
      <c r="E27" s="5" t="s">
        <v>64</v>
      </c>
      <c r="F27" s="5" t="s">
        <v>65</v>
      </c>
      <c r="G27" s="5" t="s">
        <v>976</v>
      </c>
      <c r="H27" s="27" t="s">
        <v>977</v>
      </c>
      <c r="I27" s="5" t="s">
        <v>13</v>
      </c>
      <c r="J27" s="5" t="s">
        <v>925</v>
      </c>
      <c r="K27" s="5" t="s">
        <v>66</v>
      </c>
    </row>
    <row r="28" spans="1:11" x14ac:dyDescent="0.3">
      <c r="A28" s="5">
        <v>24</v>
      </c>
      <c r="B28" s="5" t="s">
        <v>978</v>
      </c>
      <c r="C28" s="5" t="s">
        <v>67</v>
      </c>
      <c r="D28" s="5" t="s">
        <v>10</v>
      </c>
      <c r="E28" s="5" t="s">
        <v>64</v>
      </c>
      <c r="F28" s="5" t="s">
        <v>65</v>
      </c>
      <c r="G28" s="5" t="s">
        <v>965</v>
      </c>
      <c r="H28" s="27" t="s">
        <v>977</v>
      </c>
      <c r="I28" s="5" t="s">
        <v>13</v>
      </c>
      <c r="J28" s="5" t="s">
        <v>925</v>
      </c>
      <c r="K28" s="5" t="s">
        <v>36</v>
      </c>
    </row>
    <row r="29" spans="1:11" x14ac:dyDescent="0.3">
      <c r="A29" s="4">
        <v>25</v>
      </c>
      <c r="B29" s="4" t="s">
        <v>979</v>
      </c>
      <c r="C29" s="4" t="s">
        <v>68</v>
      </c>
      <c r="D29" s="4" t="s">
        <v>10</v>
      </c>
      <c r="E29" s="4" t="s">
        <v>64</v>
      </c>
      <c r="F29" s="4" t="s">
        <v>69</v>
      </c>
      <c r="G29" s="4" t="s">
        <v>980</v>
      </c>
      <c r="H29" s="26" t="s">
        <v>977</v>
      </c>
      <c r="I29" s="4" t="s">
        <v>13</v>
      </c>
      <c r="J29" s="4" t="s">
        <v>926</v>
      </c>
      <c r="K29" s="4" t="s">
        <v>70</v>
      </c>
    </row>
    <row r="30" spans="1:11" x14ac:dyDescent="0.3">
      <c r="A30" s="5">
        <v>26</v>
      </c>
      <c r="B30" s="5" t="s">
        <v>981</v>
      </c>
      <c r="C30" s="5" t="s">
        <v>71</v>
      </c>
      <c r="D30" s="5" t="s">
        <v>10</v>
      </c>
      <c r="E30" s="5" t="s">
        <v>72</v>
      </c>
      <c r="F30" s="5" t="s">
        <v>73</v>
      </c>
      <c r="G30" s="5" t="s">
        <v>982</v>
      </c>
      <c r="H30" s="27" t="s">
        <v>954</v>
      </c>
      <c r="I30" s="5" t="s">
        <v>13</v>
      </c>
      <c r="J30" s="5" t="s">
        <v>925</v>
      </c>
      <c r="K30" s="5" t="s">
        <v>74</v>
      </c>
    </row>
    <row r="31" spans="1:11" x14ac:dyDescent="0.3">
      <c r="A31" s="4">
        <v>27</v>
      </c>
      <c r="B31" s="4" t="s">
        <v>983</v>
      </c>
      <c r="C31" s="4" t="s">
        <v>75</v>
      </c>
      <c r="D31" s="4" t="s">
        <v>10</v>
      </c>
      <c r="E31" s="4" t="s">
        <v>76</v>
      </c>
      <c r="F31" s="4" t="s">
        <v>77</v>
      </c>
      <c r="G31" s="4" t="s">
        <v>984</v>
      </c>
      <c r="H31" s="26" t="s">
        <v>977</v>
      </c>
      <c r="I31" s="4" t="s">
        <v>13</v>
      </c>
      <c r="J31" s="4" t="s">
        <v>926</v>
      </c>
      <c r="K31" s="4" t="s">
        <v>43</v>
      </c>
    </row>
    <row r="32" spans="1:11" x14ac:dyDescent="0.3">
      <c r="A32" s="5">
        <v>28</v>
      </c>
      <c r="B32" s="5" t="s">
        <v>985</v>
      </c>
      <c r="C32" s="5" t="s">
        <v>78</v>
      </c>
      <c r="D32" s="5" t="s">
        <v>10</v>
      </c>
      <c r="E32" s="5" t="s">
        <v>76</v>
      </c>
      <c r="F32" s="5" t="s">
        <v>79</v>
      </c>
      <c r="G32" s="5" t="s">
        <v>957</v>
      </c>
      <c r="H32" s="27" t="s">
        <v>977</v>
      </c>
      <c r="I32" s="5" t="s">
        <v>13</v>
      </c>
      <c r="J32" s="5" t="s">
        <v>925</v>
      </c>
      <c r="K32" s="5" t="s">
        <v>43</v>
      </c>
    </row>
    <row r="33" spans="1:11" x14ac:dyDescent="0.3">
      <c r="A33" s="5">
        <v>29</v>
      </c>
      <c r="B33" s="5" t="s">
        <v>986</v>
      </c>
      <c r="C33" s="5" t="s">
        <v>80</v>
      </c>
      <c r="D33" s="5" t="s">
        <v>10</v>
      </c>
      <c r="E33" s="5" t="s">
        <v>76</v>
      </c>
      <c r="F33" s="5" t="s">
        <v>81</v>
      </c>
      <c r="G33" s="5" t="s">
        <v>971</v>
      </c>
      <c r="H33" s="27" t="s">
        <v>977</v>
      </c>
      <c r="I33" s="5" t="s">
        <v>13</v>
      </c>
      <c r="J33" s="5" t="s">
        <v>925</v>
      </c>
      <c r="K33" s="5" t="s">
        <v>58</v>
      </c>
    </row>
    <row r="34" spans="1:11" x14ac:dyDescent="0.3">
      <c r="A34" s="4">
        <v>30</v>
      </c>
      <c r="B34" s="4" t="s">
        <v>987</v>
      </c>
      <c r="C34" s="4" t="s">
        <v>82</v>
      </c>
      <c r="D34" s="4" t="s">
        <v>10</v>
      </c>
      <c r="E34" s="4" t="s">
        <v>76</v>
      </c>
      <c r="F34" s="4" t="s">
        <v>83</v>
      </c>
      <c r="G34" s="4" t="s">
        <v>955</v>
      </c>
      <c r="H34" s="26" t="s">
        <v>977</v>
      </c>
      <c r="I34" s="4" t="s">
        <v>13</v>
      </c>
      <c r="J34" s="4" t="s">
        <v>926</v>
      </c>
      <c r="K34" s="4" t="s">
        <v>14</v>
      </c>
    </row>
    <row r="35" spans="1:11" x14ac:dyDescent="0.3">
      <c r="A35" s="5">
        <v>31</v>
      </c>
      <c r="B35" s="5" t="s">
        <v>988</v>
      </c>
      <c r="C35" s="5" t="s">
        <v>84</v>
      </c>
      <c r="D35" s="5" t="s">
        <v>10</v>
      </c>
      <c r="E35" s="5" t="s">
        <v>85</v>
      </c>
      <c r="F35" s="5" t="s">
        <v>48</v>
      </c>
      <c r="G35" s="5" t="s">
        <v>989</v>
      </c>
      <c r="H35" s="27" t="s">
        <v>977</v>
      </c>
      <c r="I35" s="5" t="s">
        <v>13</v>
      </c>
      <c r="J35" s="5" t="s">
        <v>925</v>
      </c>
      <c r="K35" s="5" t="s">
        <v>36</v>
      </c>
    </row>
    <row r="36" spans="1:11" x14ac:dyDescent="0.3">
      <c r="A36" s="3">
        <v>32</v>
      </c>
      <c r="B36" s="3" t="s">
        <v>990</v>
      </c>
      <c r="C36" s="3" t="s">
        <v>86</v>
      </c>
      <c r="D36" s="3" t="s">
        <v>10</v>
      </c>
      <c r="E36" s="3" t="s">
        <v>85</v>
      </c>
      <c r="F36" s="3" t="s">
        <v>87</v>
      </c>
      <c r="G36" s="3" t="s">
        <v>991</v>
      </c>
      <c r="H36" s="25" t="s">
        <v>977</v>
      </c>
      <c r="I36" s="3" t="s">
        <v>13</v>
      </c>
      <c r="J36" s="3" t="s">
        <v>927</v>
      </c>
      <c r="K36" s="3" t="s">
        <v>14</v>
      </c>
    </row>
    <row r="37" spans="1:11" x14ac:dyDescent="0.3">
      <c r="A37" s="5">
        <v>33</v>
      </c>
      <c r="B37" s="5" t="s">
        <v>992</v>
      </c>
      <c r="C37" s="5" t="s">
        <v>88</v>
      </c>
      <c r="D37" s="5" t="s">
        <v>10</v>
      </c>
      <c r="E37" s="5" t="s">
        <v>89</v>
      </c>
      <c r="F37" s="5" t="s">
        <v>90</v>
      </c>
      <c r="G37" s="5" t="s">
        <v>993</v>
      </c>
      <c r="H37" s="27" t="s">
        <v>994</v>
      </c>
      <c r="I37" s="5" t="s">
        <v>13</v>
      </c>
      <c r="J37" s="5" t="s">
        <v>925</v>
      </c>
      <c r="K37" s="5" t="s">
        <v>43</v>
      </c>
    </row>
    <row r="38" spans="1:11" x14ac:dyDescent="0.3">
      <c r="A38" s="5">
        <v>34</v>
      </c>
      <c r="B38" s="5" t="s">
        <v>995</v>
      </c>
      <c r="C38" s="5" t="s">
        <v>91</v>
      </c>
      <c r="D38" s="5" t="s">
        <v>10</v>
      </c>
      <c r="E38" s="5" t="s">
        <v>89</v>
      </c>
      <c r="F38" s="5" t="s">
        <v>92</v>
      </c>
      <c r="G38" s="5" t="s">
        <v>996</v>
      </c>
      <c r="H38" s="27" t="s">
        <v>994</v>
      </c>
      <c r="I38" s="5" t="s">
        <v>13</v>
      </c>
      <c r="J38" s="5" t="s">
        <v>925</v>
      </c>
      <c r="K38" s="5" t="s">
        <v>58</v>
      </c>
    </row>
    <row r="39" spans="1:11" x14ac:dyDescent="0.3">
      <c r="A39" s="4">
        <v>35</v>
      </c>
      <c r="B39" s="4" t="s">
        <v>997</v>
      </c>
      <c r="C39" s="4" t="s">
        <v>93</v>
      </c>
      <c r="D39" s="4" t="s">
        <v>10</v>
      </c>
      <c r="E39" s="4" t="s">
        <v>89</v>
      </c>
      <c r="F39" s="4" t="s">
        <v>94</v>
      </c>
      <c r="G39" s="4" t="s">
        <v>984</v>
      </c>
      <c r="H39" s="26" t="s">
        <v>994</v>
      </c>
      <c r="I39" s="4" t="s">
        <v>13</v>
      </c>
      <c r="J39" s="4" t="s">
        <v>926</v>
      </c>
      <c r="K39" s="4" t="s">
        <v>95</v>
      </c>
    </row>
    <row r="40" spans="1:11" x14ac:dyDescent="0.3">
      <c r="A40" s="5">
        <v>36</v>
      </c>
      <c r="B40" s="5" t="s">
        <v>998</v>
      </c>
      <c r="C40" s="5" t="s">
        <v>96</v>
      </c>
      <c r="D40" s="5" t="s">
        <v>10</v>
      </c>
      <c r="E40" s="5" t="s">
        <v>89</v>
      </c>
      <c r="F40" s="5" t="s">
        <v>97</v>
      </c>
      <c r="G40" s="5" t="s">
        <v>999</v>
      </c>
      <c r="H40" s="27" t="s">
        <v>994</v>
      </c>
      <c r="I40" s="5" t="s">
        <v>13</v>
      </c>
      <c r="J40" s="5" t="s">
        <v>925</v>
      </c>
      <c r="K40" s="5" t="s">
        <v>98</v>
      </c>
    </row>
    <row r="41" spans="1:11" x14ac:dyDescent="0.3">
      <c r="A41" s="3">
        <v>37</v>
      </c>
      <c r="B41" s="3" t="s">
        <v>1000</v>
      </c>
      <c r="C41" s="3" t="s">
        <v>99</v>
      </c>
      <c r="D41" s="3" t="s">
        <v>10</v>
      </c>
      <c r="E41" s="3" t="s">
        <v>89</v>
      </c>
      <c r="F41" s="3" t="s">
        <v>100</v>
      </c>
      <c r="G41" s="3" t="s">
        <v>1001</v>
      </c>
      <c r="H41" s="25" t="s">
        <v>994</v>
      </c>
      <c r="I41" s="3" t="s">
        <v>13</v>
      </c>
      <c r="J41" s="3" t="s">
        <v>927</v>
      </c>
      <c r="K41" s="3" t="s">
        <v>14</v>
      </c>
    </row>
    <row r="42" spans="1:11" x14ac:dyDescent="0.3">
      <c r="A42" s="3">
        <v>38</v>
      </c>
      <c r="B42" s="3" t="s">
        <v>1002</v>
      </c>
      <c r="C42" s="3" t="s">
        <v>101</v>
      </c>
      <c r="D42" s="3" t="s">
        <v>10</v>
      </c>
      <c r="E42" s="3" t="s">
        <v>102</v>
      </c>
      <c r="F42" s="3" t="s">
        <v>103</v>
      </c>
      <c r="G42" s="3" t="s">
        <v>1003</v>
      </c>
      <c r="H42" s="25" t="s">
        <v>1004</v>
      </c>
      <c r="I42" s="3" t="s">
        <v>13</v>
      </c>
      <c r="J42" s="3" t="s">
        <v>927</v>
      </c>
      <c r="K42" s="3" t="s">
        <v>43</v>
      </c>
    </row>
    <row r="43" spans="1:11" x14ac:dyDescent="0.3">
      <c r="A43" s="3">
        <v>39</v>
      </c>
      <c r="B43" s="3" t="s">
        <v>931</v>
      </c>
      <c r="C43" s="3" t="s">
        <v>54</v>
      </c>
      <c r="D43" s="3" t="s">
        <v>10</v>
      </c>
      <c r="E43" s="3" t="s">
        <v>102</v>
      </c>
      <c r="F43" s="3" t="s">
        <v>104</v>
      </c>
      <c r="G43" s="3" t="s">
        <v>1005</v>
      </c>
      <c r="H43" s="25" t="s">
        <v>1004</v>
      </c>
      <c r="I43" s="3" t="s">
        <v>13</v>
      </c>
      <c r="J43" s="3" t="s">
        <v>927</v>
      </c>
      <c r="K43" s="3" t="s">
        <v>14</v>
      </c>
    </row>
    <row r="44" spans="1:11" x14ac:dyDescent="0.3">
      <c r="A44" s="5">
        <v>40</v>
      </c>
      <c r="B44" s="5" t="s">
        <v>1006</v>
      </c>
      <c r="C44" s="5" t="s">
        <v>105</v>
      </c>
      <c r="D44" s="5" t="s">
        <v>10</v>
      </c>
      <c r="E44" s="5" t="s">
        <v>102</v>
      </c>
      <c r="F44" s="5" t="s">
        <v>106</v>
      </c>
      <c r="G44" s="5" t="s">
        <v>1007</v>
      </c>
      <c r="H44" s="27" t="s">
        <v>1004</v>
      </c>
      <c r="I44" s="5" t="s">
        <v>13</v>
      </c>
      <c r="J44" s="5" t="s">
        <v>925</v>
      </c>
      <c r="K44" s="5" t="s">
        <v>14</v>
      </c>
    </row>
    <row r="45" spans="1:11" x14ac:dyDescent="0.3">
      <c r="A45" s="3">
        <v>41</v>
      </c>
      <c r="B45" s="3" t="s">
        <v>990</v>
      </c>
      <c r="C45" s="3" t="s">
        <v>86</v>
      </c>
      <c r="D45" s="3" t="s">
        <v>10</v>
      </c>
      <c r="E45" s="3" t="s">
        <v>102</v>
      </c>
      <c r="F45" s="3" t="s">
        <v>107</v>
      </c>
      <c r="G45" s="3" t="s">
        <v>965</v>
      </c>
      <c r="H45" s="25" t="s">
        <v>1004</v>
      </c>
      <c r="I45" s="3" t="s">
        <v>13</v>
      </c>
      <c r="J45" s="3" t="s">
        <v>927</v>
      </c>
      <c r="K45" s="3" t="s">
        <v>14</v>
      </c>
    </row>
    <row r="46" spans="1:11" x14ac:dyDescent="0.3">
      <c r="A46" s="4">
        <v>42</v>
      </c>
      <c r="B46" s="4" t="s">
        <v>1008</v>
      </c>
      <c r="C46" s="4" t="s">
        <v>108</v>
      </c>
      <c r="D46" s="4" t="s">
        <v>10</v>
      </c>
      <c r="E46" s="4" t="s">
        <v>102</v>
      </c>
      <c r="F46" s="4" t="s">
        <v>109</v>
      </c>
      <c r="G46" s="4" t="s">
        <v>1009</v>
      </c>
      <c r="H46" s="26" t="s">
        <v>1004</v>
      </c>
      <c r="I46" s="4" t="s">
        <v>13</v>
      </c>
      <c r="J46" s="4" t="s">
        <v>926</v>
      </c>
      <c r="K46" s="4" t="s">
        <v>14</v>
      </c>
    </row>
    <row r="47" spans="1:11" x14ac:dyDescent="0.3">
      <c r="A47" s="3">
        <v>43</v>
      </c>
      <c r="B47" s="3" t="s">
        <v>1010</v>
      </c>
      <c r="C47" s="3" t="s">
        <v>110</v>
      </c>
      <c r="D47" s="3" t="s">
        <v>10</v>
      </c>
      <c r="E47" s="3" t="s">
        <v>102</v>
      </c>
      <c r="F47" s="3" t="s">
        <v>111</v>
      </c>
      <c r="G47" s="3" t="s">
        <v>1005</v>
      </c>
      <c r="H47" s="25" t="s">
        <v>1004</v>
      </c>
      <c r="I47" s="3" t="s">
        <v>13</v>
      </c>
      <c r="J47" s="3" t="s">
        <v>927</v>
      </c>
      <c r="K47" s="3" t="s">
        <v>14</v>
      </c>
    </row>
    <row r="48" spans="1:11" x14ac:dyDescent="0.3">
      <c r="A48" s="5">
        <v>44</v>
      </c>
      <c r="B48" s="5" t="s">
        <v>1011</v>
      </c>
      <c r="C48" s="5" t="s">
        <v>112</v>
      </c>
      <c r="D48" s="5" t="s">
        <v>10</v>
      </c>
      <c r="E48" s="5" t="s">
        <v>102</v>
      </c>
      <c r="F48" s="5" t="s">
        <v>113</v>
      </c>
      <c r="G48" s="5" t="s">
        <v>1012</v>
      </c>
      <c r="H48" s="27" t="s">
        <v>1004</v>
      </c>
      <c r="I48" s="5" t="s">
        <v>13</v>
      </c>
      <c r="J48" s="5" t="s">
        <v>925</v>
      </c>
      <c r="K48" s="5" t="s">
        <v>36</v>
      </c>
    </row>
    <row r="49" spans="1:11" x14ac:dyDescent="0.3">
      <c r="A49" s="3">
        <v>45</v>
      </c>
      <c r="B49" s="3" t="s">
        <v>1013</v>
      </c>
      <c r="C49" s="3" t="s">
        <v>114</v>
      </c>
      <c r="D49" s="3" t="s">
        <v>10</v>
      </c>
      <c r="E49" s="3" t="s">
        <v>102</v>
      </c>
      <c r="F49" s="3" t="s">
        <v>113</v>
      </c>
      <c r="G49" s="3" t="s">
        <v>1014</v>
      </c>
      <c r="H49" s="25" t="s">
        <v>1004</v>
      </c>
      <c r="I49" s="3" t="s">
        <v>13</v>
      </c>
      <c r="J49" s="3" t="s">
        <v>927</v>
      </c>
      <c r="K49" s="3" t="s">
        <v>115</v>
      </c>
    </row>
    <row r="50" spans="1:11" x14ac:dyDescent="0.3">
      <c r="A50" s="4">
        <v>46</v>
      </c>
      <c r="B50" s="4" t="s">
        <v>1015</v>
      </c>
      <c r="C50" s="4" t="s">
        <v>116</v>
      </c>
      <c r="D50" s="4" t="s">
        <v>10</v>
      </c>
      <c r="E50" s="4" t="s">
        <v>102</v>
      </c>
      <c r="F50" s="4" t="s">
        <v>117</v>
      </c>
      <c r="G50" s="4" t="s">
        <v>980</v>
      </c>
      <c r="H50" s="26" t="s">
        <v>1004</v>
      </c>
      <c r="I50" s="4" t="s">
        <v>13</v>
      </c>
      <c r="J50" s="4" t="s">
        <v>926</v>
      </c>
      <c r="K50" s="4" t="s">
        <v>118</v>
      </c>
    </row>
    <row r="51" spans="1:11" x14ac:dyDescent="0.3">
      <c r="A51" s="3">
        <v>47</v>
      </c>
      <c r="B51" s="3" t="s">
        <v>1016</v>
      </c>
      <c r="C51" s="3" t="s">
        <v>119</v>
      </c>
      <c r="D51" s="3" t="s">
        <v>10</v>
      </c>
      <c r="E51" s="3" t="s">
        <v>120</v>
      </c>
      <c r="F51" s="3" t="s">
        <v>121</v>
      </c>
      <c r="G51" s="3" t="s">
        <v>957</v>
      </c>
      <c r="H51" s="25" t="s">
        <v>977</v>
      </c>
      <c r="I51" s="3" t="s">
        <v>13</v>
      </c>
      <c r="J51" s="3" t="s">
        <v>927</v>
      </c>
      <c r="K51" s="3" t="s">
        <v>14</v>
      </c>
    </row>
    <row r="52" spans="1:11" x14ac:dyDescent="0.3">
      <c r="A52" s="5">
        <v>48</v>
      </c>
      <c r="B52" s="5" t="s">
        <v>1017</v>
      </c>
      <c r="C52" s="5" t="s">
        <v>122</v>
      </c>
      <c r="D52" s="5" t="s">
        <v>10</v>
      </c>
      <c r="E52" s="5" t="s">
        <v>123</v>
      </c>
      <c r="F52" s="5" t="s">
        <v>124</v>
      </c>
      <c r="G52" s="5" t="s">
        <v>1018</v>
      </c>
      <c r="H52" s="27" t="s">
        <v>1019</v>
      </c>
      <c r="I52" s="5" t="s">
        <v>13</v>
      </c>
      <c r="J52" s="5" t="s">
        <v>925</v>
      </c>
      <c r="K52" s="5" t="s">
        <v>125</v>
      </c>
    </row>
    <row r="53" spans="1:11" x14ac:dyDescent="0.3">
      <c r="A53" s="5">
        <v>49</v>
      </c>
      <c r="B53" s="5" t="s">
        <v>1020</v>
      </c>
      <c r="C53" s="5" t="s">
        <v>126</v>
      </c>
      <c r="D53" s="5" t="s">
        <v>10</v>
      </c>
      <c r="E53" s="5" t="s">
        <v>127</v>
      </c>
      <c r="F53" s="5" t="s">
        <v>128</v>
      </c>
      <c r="G53" s="5" t="s">
        <v>1021</v>
      </c>
      <c r="H53" s="27" t="s">
        <v>954</v>
      </c>
      <c r="I53" s="5" t="s">
        <v>13</v>
      </c>
      <c r="J53" s="5" t="s">
        <v>925</v>
      </c>
      <c r="K53" s="5" t="s">
        <v>58</v>
      </c>
    </row>
    <row r="54" spans="1:11" x14ac:dyDescent="0.3">
      <c r="A54" s="4">
        <v>50</v>
      </c>
      <c r="B54" s="4" t="s">
        <v>1022</v>
      </c>
      <c r="C54" s="4" t="s">
        <v>129</v>
      </c>
      <c r="D54" s="4" t="s">
        <v>10</v>
      </c>
      <c r="E54" s="4" t="s">
        <v>130</v>
      </c>
      <c r="F54" s="4" t="s">
        <v>131</v>
      </c>
      <c r="G54" s="4" t="s">
        <v>1023</v>
      </c>
      <c r="H54" s="26" t="s">
        <v>1024</v>
      </c>
      <c r="I54" s="4" t="s">
        <v>13</v>
      </c>
      <c r="J54" s="4" t="s">
        <v>926</v>
      </c>
      <c r="K54" s="4" t="s">
        <v>43</v>
      </c>
    </row>
    <row r="55" spans="1:11" x14ac:dyDescent="0.3">
      <c r="A55" s="3">
        <v>51</v>
      </c>
      <c r="B55" s="3" t="s">
        <v>1025</v>
      </c>
      <c r="C55" s="3" t="s">
        <v>132</v>
      </c>
      <c r="D55" s="3" t="s">
        <v>10</v>
      </c>
      <c r="E55" s="3" t="s">
        <v>133</v>
      </c>
      <c r="F55" s="3" t="s">
        <v>134</v>
      </c>
      <c r="G55" s="3" t="s">
        <v>965</v>
      </c>
      <c r="H55" s="25" t="s">
        <v>1024</v>
      </c>
      <c r="I55" s="3" t="s">
        <v>13</v>
      </c>
      <c r="J55" s="3" t="s">
        <v>927</v>
      </c>
      <c r="K55" s="3" t="s">
        <v>115</v>
      </c>
    </row>
    <row r="56" spans="1:11" x14ac:dyDescent="0.3">
      <c r="A56" s="5">
        <v>52</v>
      </c>
      <c r="B56" s="5" t="s">
        <v>1026</v>
      </c>
      <c r="C56" s="5" t="s">
        <v>135</v>
      </c>
      <c r="D56" s="5" t="s">
        <v>10</v>
      </c>
      <c r="E56" s="5" t="s">
        <v>136</v>
      </c>
      <c r="F56" s="5" t="s">
        <v>137</v>
      </c>
      <c r="G56" s="5" t="s">
        <v>1012</v>
      </c>
      <c r="H56" s="27" t="s">
        <v>1027</v>
      </c>
      <c r="I56" s="5" t="s">
        <v>13</v>
      </c>
      <c r="J56" s="5" t="s">
        <v>925</v>
      </c>
      <c r="K56" s="5" t="s">
        <v>14</v>
      </c>
    </row>
    <row r="57" spans="1:11" x14ac:dyDescent="0.3">
      <c r="A57" s="4">
        <v>53</v>
      </c>
      <c r="B57" s="4" t="s">
        <v>1028</v>
      </c>
      <c r="C57" s="4" t="s">
        <v>138</v>
      </c>
      <c r="D57" s="4" t="s">
        <v>10</v>
      </c>
      <c r="E57" s="4" t="s">
        <v>136</v>
      </c>
      <c r="F57" s="4" t="s">
        <v>81</v>
      </c>
      <c r="G57" s="4" t="s">
        <v>1029</v>
      </c>
      <c r="H57" s="26" t="s">
        <v>1027</v>
      </c>
      <c r="I57" s="4" t="s">
        <v>13</v>
      </c>
      <c r="J57" s="4" t="s">
        <v>926</v>
      </c>
      <c r="K57" s="4" t="s">
        <v>139</v>
      </c>
    </row>
    <row r="58" spans="1:11" x14ac:dyDescent="0.3">
      <c r="A58" s="4">
        <v>54</v>
      </c>
      <c r="B58" s="4" t="s">
        <v>1030</v>
      </c>
      <c r="C58" s="4" t="s">
        <v>140</v>
      </c>
      <c r="D58" s="4" t="s">
        <v>10</v>
      </c>
      <c r="E58" s="4" t="s">
        <v>136</v>
      </c>
      <c r="F58" s="4" t="s">
        <v>141</v>
      </c>
      <c r="G58" s="4" t="s">
        <v>1031</v>
      </c>
      <c r="H58" s="26" t="s">
        <v>1027</v>
      </c>
      <c r="I58" s="4" t="s">
        <v>13</v>
      </c>
      <c r="J58" s="4" t="s">
        <v>926</v>
      </c>
      <c r="K58" s="4" t="s">
        <v>14</v>
      </c>
    </row>
    <row r="59" spans="1:11" x14ac:dyDescent="0.3">
      <c r="A59" s="4">
        <v>55</v>
      </c>
      <c r="B59" s="4" t="s">
        <v>1032</v>
      </c>
      <c r="C59" s="4" t="s">
        <v>142</v>
      </c>
      <c r="D59" s="4" t="s">
        <v>10</v>
      </c>
      <c r="E59" s="4" t="s">
        <v>136</v>
      </c>
      <c r="F59" s="4" t="s">
        <v>143</v>
      </c>
      <c r="G59" s="4" t="s">
        <v>1033</v>
      </c>
      <c r="H59" s="26" t="s">
        <v>1027</v>
      </c>
      <c r="I59" s="4" t="s">
        <v>13</v>
      </c>
      <c r="J59" s="4" t="s">
        <v>926</v>
      </c>
      <c r="K59" s="4" t="s">
        <v>144</v>
      </c>
    </row>
    <row r="60" spans="1:11" x14ac:dyDescent="0.3">
      <c r="A60" s="3">
        <v>56</v>
      </c>
      <c r="B60" s="3" t="s">
        <v>990</v>
      </c>
      <c r="C60" s="3" t="s">
        <v>86</v>
      </c>
      <c r="D60" s="3" t="s">
        <v>10</v>
      </c>
      <c r="E60" s="3" t="s">
        <v>136</v>
      </c>
      <c r="F60" s="3" t="s">
        <v>145</v>
      </c>
      <c r="G60" s="3" t="s">
        <v>1034</v>
      </c>
      <c r="H60" s="25" t="s">
        <v>1027</v>
      </c>
      <c r="I60" s="3" t="s">
        <v>13</v>
      </c>
      <c r="J60" s="3" t="s">
        <v>927</v>
      </c>
      <c r="K60" s="3" t="s">
        <v>14</v>
      </c>
    </row>
    <row r="61" spans="1:11" x14ac:dyDescent="0.3">
      <c r="A61" s="3">
        <v>57</v>
      </c>
      <c r="B61" s="3" t="s">
        <v>1035</v>
      </c>
      <c r="C61" s="3" t="s">
        <v>146</v>
      </c>
      <c r="D61" s="3" t="s">
        <v>10</v>
      </c>
      <c r="E61" s="3" t="s">
        <v>136</v>
      </c>
      <c r="F61" s="3" t="s">
        <v>147</v>
      </c>
      <c r="G61" s="3" t="s">
        <v>1034</v>
      </c>
      <c r="H61" s="25" t="s">
        <v>1027</v>
      </c>
      <c r="I61" s="3" t="s">
        <v>13</v>
      </c>
      <c r="J61" s="3" t="s">
        <v>927</v>
      </c>
      <c r="K61" s="3" t="s">
        <v>14</v>
      </c>
    </row>
    <row r="62" spans="1:11" x14ac:dyDescent="0.3">
      <c r="A62" s="5">
        <v>58</v>
      </c>
      <c r="B62" s="5" t="s">
        <v>1036</v>
      </c>
      <c r="C62" s="5" t="s">
        <v>148</v>
      </c>
      <c r="D62" s="5" t="s">
        <v>10</v>
      </c>
      <c r="E62" s="5" t="s">
        <v>136</v>
      </c>
      <c r="F62" s="5" t="s">
        <v>149</v>
      </c>
      <c r="G62" s="5" t="s">
        <v>1037</v>
      </c>
      <c r="H62" s="27" t="s">
        <v>1027</v>
      </c>
      <c r="I62" s="5" t="s">
        <v>13</v>
      </c>
      <c r="J62" s="5" t="s">
        <v>925</v>
      </c>
      <c r="K62" s="5" t="s">
        <v>36</v>
      </c>
    </row>
    <row r="63" spans="1:11" x14ac:dyDescent="0.3">
      <c r="A63" s="5">
        <v>59</v>
      </c>
      <c r="B63" s="5" t="s">
        <v>1038</v>
      </c>
      <c r="C63" s="5" t="s">
        <v>150</v>
      </c>
      <c r="D63" s="5" t="s">
        <v>10</v>
      </c>
      <c r="E63" s="5" t="s">
        <v>136</v>
      </c>
      <c r="F63" s="5" t="s">
        <v>151</v>
      </c>
      <c r="G63" s="5" t="s">
        <v>957</v>
      </c>
      <c r="H63" s="27" t="s">
        <v>1027</v>
      </c>
      <c r="I63" s="5" t="s">
        <v>13</v>
      </c>
      <c r="J63" s="5" t="s">
        <v>925</v>
      </c>
      <c r="K63" s="5" t="s">
        <v>14</v>
      </c>
    </row>
    <row r="64" spans="1:11" x14ac:dyDescent="0.3">
      <c r="A64" s="4">
        <v>60</v>
      </c>
      <c r="B64" s="4" t="s">
        <v>1039</v>
      </c>
      <c r="C64" s="4" t="s">
        <v>152</v>
      </c>
      <c r="D64" s="4" t="s">
        <v>10</v>
      </c>
      <c r="E64" s="4" t="s">
        <v>136</v>
      </c>
      <c r="F64" s="4" t="s">
        <v>69</v>
      </c>
      <c r="G64" s="4" t="s">
        <v>1040</v>
      </c>
      <c r="H64" s="26" t="s">
        <v>1027</v>
      </c>
      <c r="I64" s="4" t="s">
        <v>13</v>
      </c>
      <c r="J64" s="4" t="s">
        <v>926</v>
      </c>
      <c r="K64" s="4" t="s">
        <v>27</v>
      </c>
    </row>
    <row r="65" spans="1:11" x14ac:dyDescent="0.3">
      <c r="A65" s="5">
        <v>61</v>
      </c>
      <c r="B65" s="5" t="s">
        <v>1041</v>
      </c>
      <c r="C65" s="5" t="s">
        <v>153</v>
      </c>
      <c r="D65" s="5" t="s">
        <v>10</v>
      </c>
      <c r="E65" s="5" t="s">
        <v>154</v>
      </c>
      <c r="F65" s="5" t="s">
        <v>155</v>
      </c>
      <c r="G65" s="5" t="s">
        <v>1042</v>
      </c>
      <c r="H65" s="27" t="s">
        <v>954</v>
      </c>
      <c r="I65" s="5" t="s">
        <v>13</v>
      </c>
      <c r="J65" s="5" t="s">
        <v>925</v>
      </c>
      <c r="K65" s="5" t="s">
        <v>156</v>
      </c>
    </row>
    <row r="66" spans="1:11" x14ac:dyDescent="0.3">
      <c r="A66" s="5">
        <v>62</v>
      </c>
      <c r="B66" s="5" t="s">
        <v>1043</v>
      </c>
      <c r="C66" s="5" t="s">
        <v>157</v>
      </c>
      <c r="D66" s="5" t="s">
        <v>10</v>
      </c>
      <c r="E66" s="5" t="s">
        <v>154</v>
      </c>
      <c r="F66" s="5" t="s">
        <v>158</v>
      </c>
      <c r="G66" s="5" t="s">
        <v>980</v>
      </c>
      <c r="H66" s="27" t="s">
        <v>954</v>
      </c>
      <c r="I66" s="5" t="s">
        <v>13</v>
      </c>
      <c r="J66" s="5" t="s">
        <v>925</v>
      </c>
      <c r="K66" s="5" t="s">
        <v>27</v>
      </c>
    </row>
    <row r="67" spans="1:11" x14ac:dyDescent="0.3">
      <c r="A67" s="5">
        <v>63</v>
      </c>
      <c r="B67" s="5" t="s">
        <v>1044</v>
      </c>
      <c r="C67" s="5" t="s">
        <v>159</v>
      </c>
      <c r="D67" s="5" t="s">
        <v>10</v>
      </c>
      <c r="E67" s="5" t="s">
        <v>154</v>
      </c>
      <c r="F67" s="5" t="s">
        <v>160</v>
      </c>
      <c r="G67" s="5" t="s">
        <v>938</v>
      </c>
      <c r="H67" s="27" t="s">
        <v>954</v>
      </c>
      <c r="I67" s="5" t="s">
        <v>13</v>
      </c>
      <c r="J67" s="5" t="s">
        <v>925</v>
      </c>
      <c r="K67" s="5" t="s">
        <v>36</v>
      </c>
    </row>
    <row r="68" spans="1:11" x14ac:dyDescent="0.3">
      <c r="A68" s="3">
        <v>64</v>
      </c>
      <c r="B68" s="3" t="s">
        <v>931</v>
      </c>
      <c r="C68" s="3" t="s">
        <v>54</v>
      </c>
      <c r="D68" s="3" t="s">
        <v>10</v>
      </c>
      <c r="E68" s="3" t="s">
        <v>161</v>
      </c>
      <c r="F68" s="3" t="s">
        <v>162</v>
      </c>
      <c r="G68" s="3" t="s">
        <v>1045</v>
      </c>
      <c r="H68" s="25" t="s">
        <v>1046</v>
      </c>
      <c r="I68" s="3" t="s">
        <v>13</v>
      </c>
      <c r="J68" s="3" t="s">
        <v>927</v>
      </c>
      <c r="K68" s="3" t="s">
        <v>14</v>
      </c>
    </row>
    <row r="69" spans="1:11" x14ac:dyDescent="0.3">
      <c r="A69" s="4">
        <v>65</v>
      </c>
      <c r="B69" s="4" t="s">
        <v>1047</v>
      </c>
      <c r="C69" s="4" t="s">
        <v>163</v>
      </c>
      <c r="D69" s="4" t="s">
        <v>10</v>
      </c>
      <c r="E69" s="4" t="s">
        <v>161</v>
      </c>
      <c r="F69" s="4" t="s">
        <v>164</v>
      </c>
      <c r="G69" s="4" t="s">
        <v>957</v>
      </c>
      <c r="H69" s="26" t="s">
        <v>1046</v>
      </c>
      <c r="I69" s="4" t="s">
        <v>13</v>
      </c>
      <c r="J69" s="4" t="s">
        <v>926</v>
      </c>
      <c r="K69" s="4" t="s">
        <v>165</v>
      </c>
    </row>
    <row r="70" spans="1:11" x14ac:dyDescent="0.3">
      <c r="A70" s="4">
        <v>66</v>
      </c>
      <c r="B70" s="4" t="s">
        <v>1048</v>
      </c>
      <c r="C70" s="4" t="s">
        <v>166</v>
      </c>
      <c r="D70" s="4" t="s">
        <v>10</v>
      </c>
      <c r="E70" s="4" t="s">
        <v>161</v>
      </c>
      <c r="F70" s="4" t="s">
        <v>167</v>
      </c>
      <c r="G70" s="4" t="s">
        <v>1049</v>
      </c>
      <c r="H70" s="26" t="s">
        <v>1046</v>
      </c>
      <c r="I70" s="4" t="s">
        <v>13</v>
      </c>
      <c r="J70" s="4" t="s">
        <v>926</v>
      </c>
      <c r="K70" s="4" t="s">
        <v>43</v>
      </c>
    </row>
    <row r="71" spans="1:11" x14ac:dyDescent="0.3">
      <c r="A71" s="4">
        <v>67</v>
      </c>
      <c r="B71" s="4" t="s">
        <v>1050</v>
      </c>
      <c r="C71" s="4" t="s">
        <v>168</v>
      </c>
      <c r="D71" s="4" t="s">
        <v>10</v>
      </c>
      <c r="E71" s="4" t="s">
        <v>161</v>
      </c>
      <c r="F71" s="4" t="s">
        <v>169</v>
      </c>
      <c r="G71" s="4" t="s">
        <v>1051</v>
      </c>
      <c r="H71" s="26" t="s">
        <v>1046</v>
      </c>
      <c r="I71" s="4" t="s">
        <v>13</v>
      </c>
      <c r="J71" s="4" t="s">
        <v>926</v>
      </c>
      <c r="K71" s="4" t="s">
        <v>20</v>
      </c>
    </row>
    <row r="72" spans="1:11" x14ac:dyDescent="0.3">
      <c r="A72" s="4">
        <v>68</v>
      </c>
      <c r="B72" s="4" t="s">
        <v>1052</v>
      </c>
      <c r="C72" s="4" t="s">
        <v>170</v>
      </c>
      <c r="D72" s="4" t="s">
        <v>10</v>
      </c>
      <c r="E72" s="4" t="s">
        <v>161</v>
      </c>
      <c r="F72" s="4" t="s">
        <v>171</v>
      </c>
      <c r="G72" s="4" t="s">
        <v>1053</v>
      </c>
      <c r="H72" s="26" t="s">
        <v>1046</v>
      </c>
      <c r="I72" s="4" t="s">
        <v>13</v>
      </c>
      <c r="J72" s="4" t="s">
        <v>926</v>
      </c>
      <c r="K72" s="4" t="s">
        <v>20</v>
      </c>
    </row>
    <row r="73" spans="1:11" x14ac:dyDescent="0.3">
      <c r="A73" s="5">
        <v>69</v>
      </c>
      <c r="B73" s="5" t="s">
        <v>1054</v>
      </c>
      <c r="C73" s="5" t="s">
        <v>172</v>
      </c>
      <c r="D73" s="5" t="s">
        <v>10</v>
      </c>
      <c r="E73" s="5" t="s">
        <v>173</v>
      </c>
      <c r="F73" s="5" t="s">
        <v>174</v>
      </c>
      <c r="G73" s="5" t="s">
        <v>999</v>
      </c>
      <c r="H73" s="27" t="s">
        <v>954</v>
      </c>
      <c r="I73" s="5" t="s">
        <v>13</v>
      </c>
      <c r="J73" s="5" t="s">
        <v>925</v>
      </c>
      <c r="K73" s="5" t="s">
        <v>125</v>
      </c>
    </row>
    <row r="74" spans="1:11" x14ac:dyDescent="0.3">
      <c r="A74" s="5">
        <v>70</v>
      </c>
      <c r="B74" s="5" t="s">
        <v>1055</v>
      </c>
      <c r="C74" s="5" t="s">
        <v>175</v>
      </c>
      <c r="D74" s="5" t="s">
        <v>10</v>
      </c>
      <c r="E74" s="5" t="s">
        <v>173</v>
      </c>
      <c r="F74" s="5" t="s">
        <v>176</v>
      </c>
      <c r="G74" s="5" t="s">
        <v>1056</v>
      </c>
      <c r="H74" s="27" t="s">
        <v>954</v>
      </c>
      <c r="I74" s="5" t="s">
        <v>13</v>
      </c>
      <c r="J74" s="5" t="s">
        <v>925</v>
      </c>
      <c r="K74" s="5" t="s">
        <v>177</v>
      </c>
    </row>
    <row r="75" spans="1:11" x14ac:dyDescent="0.3">
      <c r="A75" s="5">
        <v>71</v>
      </c>
      <c r="B75" s="5" t="s">
        <v>1057</v>
      </c>
      <c r="C75" s="5" t="s">
        <v>178</v>
      </c>
      <c r="D75" s="5" t="s">
        <v>10</v>
      </c>
      <c r="E75" s="5" t="s">
        <v>179</v>
      </c>
      <c r="F75" s="5" t="s">
        <v>180</v>
      </c>
      <c r="G75" s="5" t="s">
        <v>1058</v>
      </c>
      <c r="H75" s="27" t="s">
        <v>977</v>
      </c>
      <c r="I75" s="5" t="s">
        <v>13</v>
      </c>
      <c r="J75" s="5" t="s">
        <v>925</v>
      </c>
      <c r="K75" s="5" t="s">
        <v>58</v>
      </c>
    </row>
    <row r="76" spans="1:11" x14ac:dyDescent="0.3">
      <c r="A76" s="4">
        <v>72</v>
      </c>
      <c r="B76" s="4" t="s">
        <v>1059</v>
      </c>
      <c r="C76" s="4" t="s">
        <v>181</v>
      </c>
      <c r="D76" s="4" t="s">
        <v>10</v>
      </c>
      <c r="E76" s="4" t="s">
        <v>179</v>
      </c>
      <c r="F76" s="4" t="s">
        <v>182</v>
      </c>
      <c r="G76" s="4" t="s">
        <v>955</v>
      </c>
      <c r="H76" s="26" t="s">
        <v>977</v>
      </c>
      <c r="I76" s="4" t="s">
        <v>13</v>
      </c>
      <c r="J76" s="4" t="s">
        <v>926</v>
      </c>
      <c r="K76" s="4" t="s">
        <v>43</v>
      </c>
    </row>
    <row r="77" spans="1:11" x14ac:dyDescent="0.3">
      <c r="A77" s="4">
        <v>73</v>
      </c>
      <c r="B77" s="4" t="s">
        <v>1060</v>
      </c>
      <c r="C77" s="4" t="s">
        <v>183</v>
      </c>
      <c r="D77" s="4" t="s">
        <v>10</v>
      </c>
      <c r="E77" s="4" t="s">
        <v>179</v>
      </c>
      <c r="F77" s="4" t="s">
        <v>184</v>
      </c>
      <c r="G77" s="4" t="s">
        <v>955</v>
      </c>
      <c r="H77" s="26" t="s">
        <v>977</v>
      </c>
      <c r="I77" s="4" t="s">
        <v>13</v>
      </c>
      <c r="J77" s="4" t="s">
        <v>926</v>
      </c>
      <c r="K77" s="4" t="s">
        <v>43</v>
      </c>
    </row>
    <row r="78" spans="1:11" x14ac:dyDescent="0.3">
      <c r="A78" s="5">
        <v>74</v>
      </c>
      <c r="B78" s="5" t="s">
        <v>1061</v>
      </c>
      <c r="C78" s="5" t="s">
        <v>185</v>
      </c>
      <c r="D78" s="5" t="s">
        <v>10</v>
      </c>
      <c r="E78" s="5" t="s">
        <v>179</v>
      </c>
      <c r="F78" s="5" t="s">
        <v>186</v>
      </c>
      <c r="G78" s="5" t="s">
        <v>965</v>
      </c>
      <c r="H78" s="27" t="s">
        <v>977</v>
      </c>
      <c r="I78" s="5" t="s">
        <v>13</v>
      </c>
      <c r="J78" s="5" t="s">
        <v>925</v>
      </c>
      <c r="K78" s="5" t="s">
        <v>14</v>
      </c>
    </row>
    <row r="79" spans="1:11" x14ac:dyDescent="0.3">
      <c r="A79" s="3">
        <v>75</v>
      </c>
      <c r="B79" s="3" t="s">
        <v>1000</v>
      </c>
      <c r="C79" s="3" t="s">
        <v>187</v>
      </c>
      <c r="D79" s="3" t="s">
        <v>10</v>
      </c>
      <c r="E79" s="3" t="s">
        <v>179</v>
      </c>
      <c r="F79" s="3" t="s">
        <v>81</v>
      </c>
      <c r="G79" s="3" t="s">
        <v>982</v>
      </c>
      <c r="H79" s="25" t="s">
        <v>977</v>
      </c>
      <c r="I79" s="3" t="s">
        <v>13</v>
      </c>
      <c r="J79" s="3" t="s">
        <v>927</v>
      </c>
      <c r="K79" s="3" t="s">
        <v>20</v>
      </c>
    </row>
    <row r="80" spans="1:11" x14ac:dyDescent="0.3">
      <c r="A80" s="5">
        <v>76</v>
      </c>
      <c r="B80" s="5" t="s">
        <v>1062</v>
      </c>
      <c r="C80" s="5" t="s">
        <v>188</v>
      </c>
      <c r="D80" s="5" t="s">
        <v>10</v>
      </c>
      <c r="E80" s="5" t="s">
        <v>189</v>
      </c>
      <c r="F80" s="5" t="s">
        <v>190</v>
      </c>
      <c r="G80" s="5" t="s">
        <v>1063</v>
      </c>
      <c r="H80" s="27" t="s">
        <v>954</v>
      </c>
      <c r="I80" s="5" t="s">
        <v>13</v>
      </c>
      <c r="J80" s="5" t="s">
        <v>925</v>
      </c>
      <c r="K80" s="5" t="s">
        <v>144</v>
      </c>
    </row>
    <row r="81" spans="1:11" x14ac:dyDescent="0.3">
      <c r="A81" s="4">
        <v>77</v>
      </c>
      <c r="B81" s="4" t="s">
        <v>1064</v>
      </c>
      <c r="C81" s="4" t="s">
        <v>191</v>
      </c>
      <c r="D81" s="4" t="s">
        <v>10</v>
      </c>
      <c r="E81" s="4" t="s">
        <v>189</v>
      </c>
      <c r="F81" s="4" t="s">
        <v>192</v>
      </c>
      <c r="G81" s="4" t="s">
        <v>1065</v>
      </c>
      <c r="H81" s="26" t="s">
        <v>954</v>
      </c>
      <c r="I81" s="4" t="s">
        <v>13</v>
      </c>
      <c r="J81" s="4" t="s">
        <v>926</v>
      </c>
      <c r="K81" s="4" t="s">
        <v>165</v>
      </c>
    </row>
    <row r="82" spans="1:11" x14ac:dyDescent="0.3">
      <c r="A82" s="3">
        <v>78</v>
      </c>
      <c r="B82" s="3" t="s">
        <v>1000</v>
      </c>
      <c r="C82" s="3" t="s">
        <v>193</v>
      </c>
      <c r="D82" s="3" t="s">
        <v>10</v>
      </c>
      <c r="E82" s="3" t="s">
        <v>189</v>
      </c>
      <c r="F82" s="3" t="s">
        <v>194</v>
      </c>
      <c r="G82" s="3" t="s">
        <v>1063</v>
      </c>
      <c r="H82" s="25" t="s">
        <v>954</v>
      </c>
      <c r="I82" s="3" t="s">
        <v>13</v>
      </c>
      <c r="J82" s="3" t="s">
        <v>927</v>
      </c>
      <c r="K82" s="3" t="s">
        <v>195</v>
      </c>
    </row>
    <row r="83" spans="1:11" x14ac:dyDescent="0.3">
      <c r="A83" s="3">
        <v>79</v>
      </c>
      <c r="B83" s="3" t="s">
        <v>931</v>
      </c>
      <c r="C83" s="3" t="s">
        <v>9</v>
      </c>
      <c r="D83" s="3" t="s">
        <v>10</v>
      </c>
      <c r="E83" s="3" t="s">
        <v>196</v>
      </c>
      <c r="F83" s="3" t="s">
        <v>197</v>
      </c>
      <c r="G83" s="3" t="s">
        <v>1066</v>
      </c>
      <c r="H83" s="25" t="s">
        <v>1067</v>
      </c>
      <c r="I83" s="3" t="s">
        <v>13</v>
      </c>
      <c r="J83" s="3" t="s">
        <v>927</v>
      </c>
      <c r="K83" s="3" t="s">
        <v>14</v>
      </c>
    </row>
    <row r="84" spans="1:11" x14ac:dyDescent="0.3">
      <c r="A84" s="5">
        <v>80</v>
      </c>
      <c r="B84" s="5" t="s">
        <v>1068</v>
      </c>
      <c r="C84" s="5" t="s">
        <v>198</v>
      </c>
      <c r="D84" s="5" t="s">
        <v>10</v>
      </c>
      <c r="E84" s="5" t="s">
        <v>196</v>
      </c>
      <c r="F84" s="5" t="s">
        <v>199</v>
      </c>
      <c r="G84" s="5" t="s">
        <v>980</v>
      </c>
      <c r="H84" s="27" t="s">
        <v>1067</v>
      </c>
      <c r="I84" s="5" t="s">
        <v>13</v>
      </c>
      <c r="J84" s="5" t="s">
        <v>925</v>
      </c>
      <c r="K84" s="5" t="s">
        <v>200</v>
      </c>
    </row>
    <row r="85" spans="1:11" x14ac:dyDescent="0.3">
      <c r="A85" s="6">
        <v>81</v>
      </c>
      <c r="B85" s="6" t="s">
        <v>1069</v>
      </c>
      <c r="C85" s="6" t="s">
        <v>201</v>
      </c>
      <c r="D85" s="6" t="s">
        <v>10</v>
      </c>
      <c r="E85" s="6" t="s">
        <v>196</v>
      </c>
      <c r="F85" s="6" t="s">
        <v>202</v>
      </c>
      <c r="G85" s="6" t="s">
        <v>1070</v>
      </c>
      <c r="H85" s="28" t="s">
        <v>1067</v>
      </c>
      <c r="I85" s="6" t="s">
        <v>13</v>
      </c>
      <c r="J85" s="6" t="s">
        <v>928</v>
      </c>
      <c r="K85" s="6" t="s">
        <v>139</v>
      </c>
    </row>
    <row r="86" spans="1:11" x14ac:dyDescent="0.3">
      <c r="A86" s="3">
        <v>82</v>
      </c>
      <c r="B86" s="3" t="s">
        <v>1071</v>
      </c>
      <c r="C86" s="3" t="s">
        <v>203</v>
      </c>
      <c r="D86" s="3" t="s">
        <v>10</v>
      </c>
      <c r="E86" s="3" t="s">
        <v>196</v>
      </c>
      <c r="F86" s="3" t="s">
        <v>204</v>
      </c>
      <c r="G86" s="3" t="s">
        <v>1072</v>
      </c>
      <c r="H86" s="25" t="s">
        <v>1067</v>
      </c>
      <c r="I86" s="3" t="s">
        <v>13</v>
      </c>
      <c r="J86" s="3" t="s">
        <v>927</v>
      </c>
      <c r="K86" s="3" t="s">
        <v>205</v>
      </c>
    </row>
    <row r="87" spans="1:11" x14ac:dyDescent="0.3">
      <c r="A87" s="4">
        <v>83</v>
      </c>
      <c r="B87" s="4" t="s">
        <v>1073</v>
      </c>
      <c r="C87" s="4" t="s">
        <v>206</v>
      </c>
      <c r="D87" s="4" t="s">
        <v>10</v>
      </c>
      <c r="E87" s="4" t="s">
        <v>196</v>
      </c>
      <c r="F87" s="4" t="s">
        <v>199</v>
      </c>
      <c r="G87" s="4" t="s">
        <v>993</v>
      </c>
      <c r="H87" s="26" t="s">
        <v>1067</v>
      </c>
      <c r="I87" s="4" t="s">
        <v>13</v>
      </c>
      <c r="J87" s="4" t="s">
        <v>926</v>
      </c>
      <c r="K87" s="4" t="s">
        <v>20</v>
      </c>
    </row>
    <row r="88" spans="1:11" x14ac:dyDescent="0.3">
      <c r="A88" s="5">
        <v>84</v>
      </c>
      <c r="B88" s="5" t="s">
        <v>1074</v>
      </c>
      <c r="C88" s="5" t="s">
        <v>207</v>
      </c>
      <c r="D88" s="5" t="s">
        <v>10</v>
      </c>
      <c r="E88" s="5" t="s">
        <v>196</v>
      </c>
      <c r="F88" s="5" t="s">
        <v>208</v>
      </c>
      <c r="G88" s="5" t="s">
        <v>1045</v>
      </c>
      <c r="H88" s="27" t="s">
        <v>1067</v>
      </c>
      <c r="I88" s="5" t="s">
        <v>13</v>
      </c>
      <c r="J88" s="5" t="s">
        <v>925</v>
      </c>
      <c r="K88" s="5" t="s">
        <v>27</v>
      </c>
    </row>
    <row r="89" spans="1:11" x14ac:dyDescent="0.3">
      <c r="A89" s="5">
        <v>85</v>
      </c>
      <c r="B89" s="5" t="s">
        <v>1075</v>
      </c>
      <c r="C89" s="5" t="s">
        <v>209</v>
      </c>
      <c r="D89" s="5" t="s">
        <v>10</v>
      </c>
      <c r="E89" s="5" t="s">
        <v>196</v>
      </c>
      <c r="F89" s="5" t="s">
        <v>210</v>
      </c>
      <c r="G89" s="5" t="s">
        <v>1076</v>
      </c>
      <c r="H89" s="27" t="s">
        <v>1067</v>
      </c>
      <c r="I89" s="5" t="s">
        <v>13</v>
      </c>
      <c r="J89" s="5" t="s">
        <v>925</v>
      </c>
      <c r="K89" s="5" t="s">
        <v>43</v>
      </c>
    </row>
    <row r="90" spans="1:11" x14ac:dyDescent="0.3">
      <c r="A90" s="5">
        <v>86</v>
      </c>
      <c r="B90" s="5" t="s">
        <v>1077</v>
      </c>
      <c r="C90" s="5" t="s">
        <v>211</v>
      </c>
      <c r="D90" s="5" t="s">
        <v>10</v>
      </c>
      <c r="E90" s="5" t="s">
        <v>196</v>
      </c>
      <c r="F90" s="5" t="s">
        <v>212</v>
      </c>
      <c r="G90" s="5" t="s">
        <v>982</v>
      </c>
      <c r="H90" s="27" t="s">
        <v>1067</v>
      </c>
      <c r="I90" s="5" t="s">
        <v>13</v>
      </c>
      <c r="J90" s="5" t="s">
        <v>925</v>
      </c>
      <c r="K90" s="5" t="s">
        <v>14</v>
      </c>
    </row>
    <row r="91" spans="1:11" x14ac:dyDescent="0.3">
      <c r="A91" s="5">
        <v>87</v>
      </c>
      <c r="B91" s="5" t="s">
        <v>1078</v>
      </c>
      <c r="C91" s="5" t="s">
        <v>213</v>
      </c>
      <c r="D91" s="5" t="s">
        <v>10</v>
      </c>
      <c r="E91" s="5" t="s">
        <v>196</v>
      </c>
      <c r="F91" s="5" t="s">
        <v>214</v>
      </c>
      <c r="G91" s="5" t="s">
        <v>1079</v>
      </c>
      <c r="H91" s="27" t="s">
        <v>1067</v>
      </c>
      <c r="I91" s="5" t="s">
        <v>13</v>
      </c>
      <c r="J91" s="5" t="s">
        <v>925</v>
      </c>
      <c r="K91" s="5" t="s">
        <v>36</v>
      </c>
    </row>
    <row r="92" spans="1:11" x14ac:dyDescent="0.3">
      <c r="A92" s="5">
        <v>88</v>
      </c>
      <c r="B92" s="5" t="s">
        <v>1080</v>
      </c>
      <c r="C92" s="5" t="s">
        <v>215</v>
      </c>
      <c r="D92" s="5" t="s">
        <v>10</v>
      </c>
      <c r="E92" s="5" t="s">
        <v>196</v>
      </c>
      <c r="F92" s="5" t="s">
        <v>216</v>
      </c>
      <c r="G92" s="5" t="s">
        <v>1065</v>
      </c>
      <c r="H92" s="27" t="s">
        <v>1067</v>
      </c>
      <c r="I92" s="5" t="s">
        <v>13</v>
      </c>
      <c r="J92" s="5" t="s">
        <v>925</v>
      </c>
      <c r="K92" s="5" t="s">
        <v>217</v>
      </c>
    </row>
    <row r="93" spans="1:11" x14ac:dyDescent="0.3">
      <c r="A93" s="4">
        <v>89</v>
      </c>
      <c r="B93" s="4" t="s">
        <v>1081</v>
      </c>
      <c r="C93" s="4" t="s">
        <v>218</v>
      </c>
      <c r="D93" s="4" t="s">
        <v>10</v>
      </c>
      <c r="E93" s="4" t="s">
        <v>196</v>
      </c>
      <c r="F93" s="4" t="s">
        <v>219</v>
      </c>
      <c r="G93" s="4" t="s">
        <v>1007</v>
      </c>
      <c r="H93" s="26" t="s">
        <v>1067</v>
      </c>
      <c r="I93" s="4" t="s">
        <v>13</v>
      </c>
      <c r="J93" s="4" t="s">
        <v>926</v>
      </c>
      <c r="K93" s="4" t="s">
        <v>205</v>
      </c>
    </row>
    <row r="94" spans="1:11" x14ac:dyDescent="0.3">
      <c r="A94" s="4">
        <v>90</v>
      </c>
      <c r="B94" s="4" t="s">
        <v>1082</v>
      </c>
      <c r="C94" s="4" t="s">
        <v>220</v>
      </c>
      <c r="D94" s="4" t="s">
        <v>10</v>
      </c>
      <c r="E94" s="4" t="s">
        <v>196</v>
      </c>
      <c r="F94" s="4" t="s">
        <v>221</v>
      </c>
      <c r="G94" s="4" t="s">
        <v>955</v>
      </c>
      <c r="H94" s="26" t="s">
        <v>1067</v>
      </c>
      <c r="I94" s="4" t="s">
        <v>13</v>
      </c>
      <c r="J94" s="4" t="s">
        <v>926</v>
      </c>
      <c r="K94" s="4" t="s">
        <v>43</v>
      </c>
    </row>
    <row r="95" spans="1:11" x14ac:dyDescent="0.3">
      <c r="A95" s="3">
        <v>91</v>
      </c>
      <c r="B95" s="3" t="s">
        <v>1083</v>
      </c>
      <c r="C95" s="3" t="s">
        <v>222</v>
      </c>
      <c r="D95" s="3" t="s">
        <v>10</v>
      </c>
      <c r="E95" s="3" t="s">
        <v>196</v>
      </c>
      <c r="F95" s="3" t="s">
        <v>223</v>
      </c>
      <c r="G95" s="3" t="s">
        <v>1084</v>
      </c>
      <c r="H95" s="25" t="s">
        <v>1067</v>
      </c>
      <c r="I95" s="3" t="s">
        <v>13</v>
      </c>
      <c r="J95" s="3" t="s">
        <v>927</v>
      </c>
      <c r="K95" s="3" t="s">
        <v>224</v>
      </c>
    </row>
    <row r="96" spans="1:11" x14ac:dyDescent="0.3">
      <c r="A96" s="3">
        <v>92</v>
      </c>
      <c r="B96" s="3" t="s">
        <v>1000</v>
      </c>
      <c r="C96" s="3" t="s">
        <v>225</v>
      </c>
      <c r="D96" s="3" t="s">
        <v>10</v>
      </c>
      <c r="E96" s="3" t="s">
        <v>196</v>
      </c>
      <c r="F96" s="3" t="s">
        <v>226</v>
      </c>
      <c r="G96" s="3" t="s">
        <v>1085</v>
      </c>
      <c r="H96" s="25" t="s">
        <v>1067</v>
      </c>
      <c r="I96" s="3" t="s">
        <v>13</v>
      </c>
      <c r="J96" s="3" t="s">
        <v>927</v>
      </c>
      <c r="K96" s="3" t="s">
        <v>195</v>
      </c>
    </row>
    <row r="97" spans="1:11" x14ac:dyDescent="0.3">
      <c r="A97" s="5">
        <v>93</v>
      </c>
      <c r="B97" s="5" t="s">
        <v>1086</v>
      </c>
      <c r="C97" s="5" t="s">
        <v>227</v>
      </c>
      <c r="D97" s="5" t="s">
        <v>10</v>
      </c>
      <c r="E97" s="5" t="s">
        <v>228</v>
      </c>
      <c r="F97" s="5" t="s">
        <v>229</v>
      </c>
      <c r="G97" s="5" t="s">
        <v>1087</v>
      </c>
      <c r="H97" s="27" t="s">
        <v>1088</v>
      </c>
      <c r="I97" s="5" t="s">
        <v>13</v>
      </c>
      <c r="J97" s="5" t="s">
        <v>925</v>
      </c>
      <c r="K97" s="5" t="s">
        <v>36</v>
      </c>
    </row>
    <row r="98" spans="1:11" x14ac:dyDescent="0.3">
      <c r="A98" s="5">
        <v>94</v>
      </c>
      <c r="B98" s="5" t="s">
        <v>1089</v>
      </c>
      <c r="C98" s="5" t="s">
        <v>230</v>
      </c>
      <c r="D98" s="5" t="s">
        <v>10</v>
      </c>
      <c r="E98" s="5" t="s">
        <v>228</v>
      </c>
      <c r="F98" s="5" t="s">
        <v>231</v>
      </c>
      <c r="G98" s="5" t="s">
        <v>1090</v>
      </c>
      <c r="H98" s="27" t="s">
        <v>1088</v>
      </c>
      <c r="I98" s="5" t="s">
        <v>13</v>
      </c>
      <c r="J98" s="5" t="s">
        <v>925</v>
      </c>
      <c r="K98" s="5" t="s">
        <v>156</v>
      </c>
    </row>
    <row r="99" spans="1:11" x14ac:dyDescent="0.3">
      <c r="A99" s="4">
        <v>95</v>
      </c>
      <c r="B99" s="4" t="s">
        <v>1091</v>
      </c>
      <c r="C99" s="4" t="s">
        <v>232</v>
      </c>
      <c r="D99" s="4" t="s">
        <v>10</v>
      </c>
      <c r="E99" s="4" t="s">
        <v>233</v>
      </c>
      <c r="F99" s="4" t="s">
        <v>48</v>
      </c>
      <c r="G99" s="4" t="s">
        <v>1092</v>
      </c>
      <c r="H99" s="26" t="s">
        <v>1093</v>
      </c>
      <c r="I99" s="4" t="s">
        <v>13</v>
      </c>
      <c r="J99" s="4" t="s">
        <v>926</v>
      </c>
      <c r="K99" s="4" t="s">
        <v>118</v>
      </c>
    </row>
    <row r="100" spans="1:11" x14ac:dyDescent="0.3">
      <c r="A100" s="5">
        <v>96</v>
      </c>
      <c r="B100" s="5" t="s">
        <v>1094</v>
      </c>
      <c r="C100" s="5" t="s">
        <v>234</v>
      </c>
      <c r="D100" s="5" t="s">
        <v>10</v>
      </c>
      <c r="E100" s="5" t="s">
        <v>233</v>
      </c>
      <c r="F100" s="5" t="s">
        <v>48</v>
      </c>
      <c r="G100" s="5" t="s">
        <v>1095</v>
      </c>
      <c r="H100" s="27" t="s">
        <v>1093</v>
      </c>
      <c r="I100" s="5" t="s">
        <v>13</v>
      </c>
      <c r="J100" s="5" t="s">
        <v>925</v>
      </c>
      <c r="K100" s="5" t="s">
        <v>235</v>
      </c>
    </row>
    <row r="101" spans="1:11" x14ac:dyDescent="0.3">
      <c r="A101" s="5">
        <v>97</v>
      </c>
      <c r="B101" s="5" t="s">
        <v>236</v>
      </c>
      <c r="C101" s="5" t="s">
        <v>236</v>
      </c>
      <c r="D101" s="5" t="s">
        <v>10</v>
      </c>
      <c r="E101" s="5" t="s">
        <v>237</v>
      </c>
      <c r="F101" s="5" t="s">
        <v>238</v>
      </c>
      <c r="G101" s="5" t="s">
        <v>1045</v>
      </c>
      <c r="H101" s="27" t="s">
        <v>977</v>
      </c>
      <c r="I101" s="5" t="s">
        <v>13</v>
      </c>
      <c r="J101" s="5" t="s">
        <v>925</v>
      </c>
      <c r="K101" s="5" t="s">
        <v>125</v>
      </c>
    </row>
    <row r="102" spans="1:11" x14ac:dyDescent="0.3">
      <c r="A102" s="3">
        <v>98</v>
      </c>
      <c r="B102" s="3" t="s">
        <v>1096</v>
      </c>
      <c r="C102" s="3" t="s">
        <v>222</v>
      </c>
      <c r="D102" s="3" t="s">
        <v>10</v>
      </c>
      <c r="E102" s="3" t="s">
        <v>239</v>
      </c>
      <c r="F102" s="3" t="s">
        <v>240</v>
      </c>
      <c r="G102" s="3" t="s">
        <v>1066</v>
      </c>
      <c r="H102" s="25" t="s">
        <v>1097</v>
      </c>
      <c r="I102" s="3" t="s">
        <v>13</v>
      </c>
      <c r="J102" s="3" t="s">
        <v>927</v>
      </c>
      <c r="K102" s="3" t="s">
        <v>241</v>
      </c>
    </row>
    <row r="103" spans="1:11" x14ac:dyDescent="0.3">
      <c r="A103" s="5">
        <v>99</v>
      </c>
      <c r="B103" s="5" t="s">
        <v>1098</v>
      </c>
      <c r="C103" s="5" t="s">
        <v>242</v>
      </c>
      <c r="D103" s="5" t="s">
        <v>10</v>
      </c>
      <c r="E103" s="5" t="s">
        <v>239</v>
      </c>
      <c r="F103" s="5" t="s">
        <v>240</v>
      </c>
      <c r="G103" s="5" t="s">
        <v>1099</v>
      </c>
      <c r="H103" s="27" t="s">
        <v>1097</v>
      </c>
      <c r="I103" s="5" t="s">
        <v>13</v>
      </c>
      <c r="J103" s="5" t="s">
        <v>925</v>
      </c>
      <c r="K103" s="5" t="s">
        <v>98</v>
      </c>
    </row>
    <row r="104" spans="1:11" x14ac:dyDescent="0.3">
      <c r="A104" s="4">
        <v>100</v>
      </c>
      <c r="B104" s="4" t="s">
        <v>1100</v>
      </c>
      <c r="C104" s="4" t="s">
        <v>243</v>
      </c>
      <c r="D104" s="4" t="s">
        <v>10</v>
      </c>
      <c r="E104" s="4" t="s">
        <v>244</v>
      </c>
      <c r="F104" s="4" t="s">
        <v>245</v>
      </c>
      <c r="G104" s="4" t="s">
        <v>1095</v>
      </c>
      <c r="H104" s="26" t="s">
        <v>954</v>
      </c>
      <c r="I104" s="4" t="s">
        <v>13</v>
      </c>
      <c r="J104" s="4" t="s">
        <v>926</v>
      </c>
      <c r="K104" s="4" t="s">
        <v>20</v>
      </c>
    </row>
    <row r="105" spans="1:11" x14ac:dyDescent="0.3">
      <c r="A105" s="4">
        <v>101</v>
      </c>
      <c r="B105" s="4" t="s">
        <v>1101</v>
      </c>
      <c r="C105" s="4" t="s">
        <v>246</v>
      </c>
      <c r="D105" s="4" t="s">
        <v>10</v>
      </c>
      <c r="E105" s="4" t="s">
        <v>244</v>
      </c>
      <c r="F105" s="4" t="s">
        <v>247</v>
      </c>
      <c r="G105" s="4" t="s">
        <v>1065</v>
      </c>
      <c r="H105" s="26" t="s">
        <v>954</v>
      </c>
      <c r="I105" s="4" t="s">
        <v>13</v>
      </c>
      <c r="J105" s="4" t="s">
        <v>926</v>
      </c>
      <c r="K105" s="4" t="s">
        <v>165</v>
      </c>
    </row>
    <row r="106" spans="1:11" x14ac:dyDescent="0.3">
      <c r="A106" s="5">
        <v>102</v>
      </c>
      <c r="B106" s="5" t="s">
        <v>1102</v>
      </c>
      <c r="C106" s="5" t="s">
        <v>248</v>
      </c>
      <c r="D106" s="5" t="s">
        <v>10</v>
      </c>
      <c r="E106" s="5" t="s">
        <v>244</v>
      </c>
      <c r="F106" s="5" t="s">
        <v>249</v>
      </c>
      <c r="G106" s="5" t="s">
        <v>946</v>
      </c>
      <c r="H106" s="27" t="s">
        <v>954</v>
      </c>
      <c r="I106" s="5" t="s">
        <v>13</v>
      </c>
      <c r="J106" s="5" t="s">
        <v>925</v>
      </c>
      <c r="K106" s="5" t="s">
        <v>20</v>
      </c>
    </row>
    <row r="107" spans="1:11" x14ac:dyDescent="0.3">
      <c r="A107" s="3">
        <v>103</v>
      </c>
      <c r="B107" s="3" t="s">
        <v>1103</v>
      </c>
      <c r="C107" s="3" t="s">
        <v>119</v>
      </c>
      <c r="D107" s="3" t="s">
        <v>10</v>
      </c>
      <c r="E107" s="3" t="s">
        <v>244</v>
      </c>
      <c r="F107" s="3" t="s">
        <v>245</v>
      </c>
      <c r="G107" s="3" t="s">
        <v>1104</v>
      </c>
      <c r="H107" s="25" t="s">
        <v>954</v>
      </c>
      <c r="I107" s="3" t="s">
        <v>13</v>
      </c>
      <c r="J107" s="3" t="s">
        <v>927</v>
      </c>
      <c r="K107" s="3" t="s">
        <v>14</v>
      </c>
    </row>
    <row r="108" spans="1:11" x14ac:dyDescent="0.3">
      <c r="A108" s="7">
        <v>104</v>
      </c>
      <c r="B108" s="7" t="s">
        <v>1105</v>
      </c>
      <c r="C108" s="7" t="s">
        <v>250</v>
      </c>
      <c r="D108" s="7" t="s">
        <v>10</v>
      </c>
      <c r="E108" s="7" t="s">
        <v>244</v>
      </c>
      <c r="F108" s="7" t="s">
        <v>247</v>
      </c>
      <c r="G108" s="7" t="s">
        <v>1058</v>
      </c>
      <c r="H108" s="29" t="s">
        <v>954</v>
      </c>
      <c r="I108" s="7" t="s">
        <v>13</v>
      </c>
      <c r="J108" s="7" t="s">
        <v>924</v>
      </c>
      <c r="K108" s="7" t="s">
        <v>14</v>
      </c>
    </row>
    <row r="109" spans="1:11" x14ac:dyDescent="0.3">
      <c r="A109" s="4">
        <v>105</v>
      </c>
      <c r="B109" s="4" t="s">
        <v>251</v>
      </c>
      <c r="C109" s="4" t="s">
        <v>251</v>
      </c>
      <c r="D109" s="4" t="s">
        <v>10</v>
      </c>
      <c r="E109" s="4" t="s">
        <v>252</v>
      </c>
      <c r="F109" s="4" t="s">
        <v>253</v>
      </c>
      <c r="G109" s="4" t="s">
        <v>1106</v>
      </c>
      <c r="H109" s="26" t="s">
        <v>977</v>
      </c>
      <c r="I109" s="4" t="s">
        <v>13</v>
      </c>
      <c r="J109" s="4" t="s">
        <v>926</v>
      </c>
      <c r="K109" s="4" t="s">
        <v>254</v>
      </c>
    </row>
    <row r="110" spans="1:11" x14ac:dyDescent="0.3">
      <c r="A110" s="5">
        <v>106</v>
      </c>
      <c r="B110" s="5" t="s">
        <v>1107</v>
      </c>
      <c r="C110" s="5" t="s">
        <v>255</v>
      </c>
      <c r="D110" s="5" t="s">
        <v>10</v>
      </c>
      <c r="E110" s="5" t="s">
        <v>252</v>
      </c>
      <c r="F110" s="5" t="s">
        <v>256</v>
      </c>
      <c r="G110" s="5" t="s">
        <v>1005</v>
      </c>
      <c r="H110" s="27" t="s">
        <v>977</v>
      </c>
      <c r="I110" s="5" t="s">
        <v>13</v>
      </c>
      <c r="J110" s="5" t="s">
        <v>925</v>
      </c>
      <c r="K110" s="5" t="s">
        <v>14</v>
      </c>
    </row>
    <row r="111" spans="1:11" x14ac:dyDescent="0.3">
      <c r="A111" s="4">
        <v>107</v>
      </c>
      <c r="B111" s="4" t="s">
        <v>1108</v>
      </c>
      <c r="C111" s="4" t="s">
        <v>257</v>
      </c>
      <c r="D111" s="4" t="s">
        <v>10</v>
      </c>
      <c r="E111" s="4" t="s">
        <v>252</v>
      </c>
      <c r="F111" s="4" t="s">
        <v>258</v>
      </c>
      <c r="G111" s="4" t="s">
        <v>1072</v>
      </c>
      <c r="H111" s="26" t="s">
        <v>977</v>
      </c>
      <c r="I111" s="4" t="s">
        <v>13</v>
      </c>
      <c r="J111" s="4" t="s">
        <v>926</v>
      </c>
      <c r="K111" s="4" t="s">
        <v>20</v>
      </c>
    </row>
    <row r="112" spans="1:11" x14ac:dyDescent="0.3">
      <c r="A112" s="5">
        <v>108</v>
      </c>
      <c r="B112" s="5" t="s">
        <v>1109</v>
      </c>
      <c r="C112" s="5" t="s">
        <v>259</v>
      </c>
      <c r="D112" s="5" t="s">
        <v>10</v>
      </c>
      <c r="E112" s="5" t="s">
        <v>252</v>
      </c>
      <c r="F112" s="5" t="s">
        <v>260</v>
      </c>
      <c r="G112" s="5" t="s">
        <v>1110</v>
      </c>
      <c r="H112" s="27" t="s">
        <v>977</v>
      </c>
      <c r="I112" s="5" t="s">
        <v>13</v>
      </c>
      <c r="J112" s="5" t="s">
        <v>925</v>
      </c>
      <c r="K112" s="5" t="s">
        <v>224</v>
      </c>
    </row>
    <row r="113" spans="1:11" x14ac:dyDescent="0.3">
      <c r="A113" s="5">
        <v>109</v>
      </c>
      <c r="B113" s="5" t="s">
        <v>1111</v>
      </c>
      <c r="C113" s="5" t="s">
        <v>261</v>
      </c>
      <c r="D113" s="5" t="s">
        <v>10</v>
      </c>
      <c r="E113" s="5" t="s">
        <v>252</v>
      </c>
      <c r="F113" s="5" t="s">
        <v>253</v>
      </c>
      <c r="G113" s="5" t="s">
        <v>1112</v>
      </c>
      <c r="H113" s="27" t="s">
        <v>977</v>
      </c>
      <c r="I113" s="5" t="s">
        <v>13</v>
      </c>
      <c r="J113" s="5" t="s">
        <v>925</v>
      </c>
      <c r="K113" s="5" t="s">
        <v>224</v>
      </c>
    </row>
    <row r="114" spans="1:11" x14ac:dyDescent="0.3">
      <c r="A114" s="4">
        <v>110</v>
      </c>
      <c r="B114" s="4" t="s">
        <v>1113</v>
      </c>
      <c r="C114" s="4" t="s">
        <v>262</v>
      </c>
      <c r="D114" s="4" t="s">
        <v>10</v>
      </c>
      <c r="E114" s="4" t="s">
        <v>252</v>
      </c>
      <c r="F114" s="4" t="s">
        <v>263</v>
      </c>
      <c r="G114" s="4" t="s">
        <v>957</v>
      </c>
      <c r="H114" s="26" t="s">
        <v>977</v>
      </c>
      <c r="I114" s="4" t="s">
        <v>13</v>
      </c>
      <c r="J114" s="4" t="s">
        <v>926</v>
      </c>
      <c r="K114" s="4" t="s">
        <v>20</v>
      </c>
    </row>
    <row r="115" spans="1:11" x14ac:dyDescent="0.3">
      <c r="A115" s="4">
        <v>111</v>
      </c>
      <c r="B115" s="4" t="s">
        <v>1114</v>
      </c>
      <c r="C115" s="4" t="s">
        <v>264</v>
      </c>
      <c r="D115" s="4" t="s">
        <v>10</v>
      </c>
      <c r="E115" s="4" t="s">
        <v>252</v>
      </c>
      <c r="F115" s="4" t="s">
        <v>253</v>
      </c>
      <c r="G115" s="4" t="s">
        <v>1115</v>
      </c>
      <c r="H115" s="26" t="s">
        <v>977</v>
      </c>
      <c r="I115" s="4" t="s">
        <v>13</v>
      </c>
      <c r="J115" s="4" t="s">
        <v>926</v>
      </c>
      <c r="K115" s="4" t="s">
        <v>265</v>
      </c>
    </row>
    <row r="116" spans="1:11" x14ac:dyDescent="0.3">
      <c r="A116" s="5">
        <v>112</v>
      </c>
      <c r="B116" s="5" t="s">
        <v>1116</v>
      </c>
      <c r="C116" s="5" t="s">
        <v>266</v>
      </c>
      <c r="D116" s="5" t="s">
        <v>10</v>
      </c>
      <c r="E116" s="5" t="s">
        <v>252</v>
      </c>
      <c r="F116" s="5" t="s">
        <v>26</v>
      </c>
      <c r="G116" s="5" t="s">
        <v>1056</v>
      </c>
      <c r="H116" s="27" t="s">
        <v>977</v>
      </c>
      <c r="I116" s="5" t="s">
        <v>13</v>
      </c>
      <c r="J116" s="5" t="s">
        <v>925</v>
      </c>
      <c r="K116" s="5" t="s">
        <v>14</v>
      </c>
    </row>
    <row r="117" spans="1:11" x14ac:dyDescent="0.3">
      <c r="A117" s="4">
        <v>113</v>
      </c>
      <c r="B117" s="4" t="s">
        <v>1117</v>
      </c>
      <c r="C117" s="4" t="s">
        <v>267</v>
      </c>
      <c r="D117" s="4" t="s">
        <v>10</v>
      </c>
      <c r="E117" s="4" t="s">
        <v>252</v>
      </c>
      <c r="F117" s="4" t="s">
        <v>253</v>
      </c>
      <c r="G117" s="4" t="s">
        <v>1118</v>
      </c>
      <c r="H117" s="26" t="s">
        <v>977</v>
      </c>
      <c r="I117" s="4" t="s">
        <v>13</v>
      </c>
      <c r="J117" s="4" t="s">
        <v>926</v>
      </c>
      <c r="K117" s="4" t="s">
        <v>14</v>
      </c>
    </row>
    <row r="118" spans="1:11" x14ac:dyDescent="0.3">
      <c r="A118" s="5">
        <v>114</v>
      </c>
      <c r="B118" s="5" t="s">
        <v>1119</v>
      </c>
      <c r="C118" s="5" t="s">
        <v>268</v>
      </c>
      <c r="D118" s="5" t="s">
        <v>10</v>
      </c>
      <c r="E118" s="5" t="s">
        <v>252</v>
      </c>
      <c r="F118" s="5" t="s">
        <v>256</v>
      </c>
      <c r="G118" s="5" t="s">
        <v>1085</v>
      </c>
      <c r="H118" s="27" t="s">
        <v>977</v>
      </c>
      <c r="I118" s="5" t="s">
        <v>13</v>
      </c>
      <c r="J118" s="5" t="s">
        <v>925</v>
      </c>
      <c r="K118" s="5" t="s">
        <v>14</v>
      </c>
    </row>
    <row r="119" spans="1:11" x14ac:dyDescent="0.3">
      <c r="A119" s="3">
        <v>115</v>
      </c>
      <c r="B119" s="3" t="s">
        <v>1120</v>
      </c>
      <c r="C119" s="3" t="s">
        <v>269</v>
      </c>
      <c r="D119" s="3" t="s">
        <v>10</v>
      </c>
      <c r="E119" s="3" t="s">
        <v>270</v>
      </c>
      <c r="F119" s="3" t="s">
        <v>271</v>
      </c>
      <c r="G119" s="3" t="s">
        <v>965</v>
      </c>
      <c r="H119" s="25" t="s">
        <v>977</v>
      </c>
      <c r="I119" s="3" t="s">
        <v>13</v>
      </c>
      <c r="J119" s="3" t="s">
        <v>927</v>
      </c>
      <c r="K119" s="3" t="s">
        <v>118</v>
      </c>
    </row>
    <row r="120" spans="1:11" x14ac:dyDescent="0.3">
      <c r="A120" s="5">
        <v>116</v>
      </c>
      <c r="B120" s="5" t="s">
        <v>1121</v>
      </c>
      <c r="C120" s="5" t="s">
        <v>272</v>
      </c>
      <c r="D120" s="5" t="s">
        <v>10</v>
      </c>
      <c r="E120" s="5" t="s">
        <v>270</v>
      </c>
      <c r="F120" s="5" t="s">
        <v>273</v>
      </c>
      <c r="G120" s="5" t="s">
        <v>1122</v>
      </c>
      <c r="H120" s="27" t="s">
        <v>977</v>
      </c>
      <c r="I120" s="5" t="s">
        <v>13</v>
      </c>
      <c r="J120" s="5" t="s">
        <v>925</v>
      </c>
      <c r="K120" s="5" t="s">
        <v>139</v>
      </c>
    </row>
    <row r="121" spans="1:11" x14ac:dyDescent="0.3">
      <c r="A121" s="3">
        <v>117</v>
      </c>
      <c r="B121" s="3" t="s">
        <v>1123</v>
      </c>
      <c r="C121" s="3" t="s">
        <v>274</v>
      </c>
      <c r="D121" s="3" t="s">
        <v>10</v>
      </c>
      <c r="E121" s="3" t="s">
        <v>270</v>
      </c>
      <c r="F121" s="3" t="s">
        <v>169</v>
      </c>
      <c r="G121" s="3" t="s">
        <v>1124</v>
      </c>
      <c r="H121" s="25" t="s">
        <v>977</v>
      </c>
      <c r="I121" s="3" t="s">
        <v>13</v>
      </c>
      <c r="J121" s="3" t="s">
        <v>927</v>
      </c>
      <c r="K121" s="3" t="s">
        <v>14</v>
      </c>
    </row>
    <row r="122" spans="1:11" x14ac:dyDescent="0.3">
      <c r="A122" s="3">
        <v>118</v>
      </c>
      <c r="B122" s="3" t="s">
        <v>931</v>
      </c>
      <c r="C122" s="3" t="s">
        <v>9</v>
      </c>
      <c r="D122" s="3" t="s">
        <v>10</v>
      </c>
      <c r="E122" s="3" t="s">
        <v>275</v>
      </c>
      <c r="F122" s="3" t="s">
        <v>276</v>
      </c>
      <c r="G122" s="3" t="s">
        <v>1005</v>
      </c>
      <c r="H122" s="25" t="s">
        <v>1125</v>
      </c>
      <c r="I122" s="3" t="s">
        <v>13</v>
      </c>
      <c r="J122" s="3" t="s">
        <v>927</v>
      </c>
      <c r="K122" s="3" t="s">
        <v>20</v>
      </c>
    </row>
    <row r="123" spans="1:11" x14ac:dyDescent="0.3">
      <c r="A123" s="4">
        <v>119</v>
      </c>
      <c r="B123" s="4" t="s">
        <v>1126</v>
      </c>
      <c r="C123" s="4" t="s">
        <v>277</v>
      </c>
      <c r="D123" s="4" t="s">
        <v>10</v>
      </c>
      <c r="E123" s="4" t="s">
        <v>275</v>
      </c>
      <c r="F123" s="4" t="s">
        <v>278</v>
      </c>
      <c r="G123" s="4" t="s">
        <v>1095</v>
      </c>
      <c r="H123" s="26" t="s">
        <v>1125</v>
      </c>
      <c r="I123" s="4" t="s">
        <v>13</v>
      </c>
      <c r="J123" s="4" t="s">
        <v>926</v>
      </c>
      <c r="K123" s="4" t="s">
        <v>66</v>
      </c>
    </row>
    <row r="124" spans="1:11" x14ac:dyDescent="0.3">
      <c r="A124" s="5">
        <v>120</v>
      </c>
      <c r="B124" s="5" t="s">
        <v>1127</v>
      </c>
      <c r="C124" s="5" t="s">
        <v>279</v>
      </c>
      <c r="D124" s="5" t="s">
        <v>10</v>
      </c>
      <c r="E124" s="5" t="s">
        <v>275</v>
      </c>
      <c r="F124" s="5" t="s">
        <v>280</v>
      </c>
      <c r="G124" s="5" t="s">
        <v>1085</v>
      </c>
      <c r="H124" s="27" t="s">
        <v>1125</v>
      </c>
      <c r="I124" s="5" t="s">
        <v>13</v>
      </c>
      <c r="J124" s="5" t="s">
        <v>925</v>
      </c>
      <c r="K124" s="5" t="s">
        <v>66</v>
      </c>
    </row>
    <row r="125" spans="1:11" x14ac:dyDescent="0.3">
      <c r="A125" s="4">
        <v>121</v>
      </c>
      <c r="B125" s="4" t="s">
        <v>1128</v>
      </c>
      <c r="C125" s="4" t="s">
        <v>281</v>
      </c>
      <c r="D125" s="4" t="s">
        <v>10</v>
      </c>
      <c r="E125" s="4" t="s">
        <v>275</v>
      </c>
      <c r="F125" s="4" t="s">
        <v>29</v>
      </c>
      <c r="G125" s="4" t="s">
        <v>980</v>
      </c>
      <c r="H125" s="26" t="s">
        <v>1125</v>
      </c>
      <c r="I125" s="4" t="s">
        <v>13</v>
      </c>
      <c r="J125" s="4" t="s">
        <v>926</v>
      </c>
      <c r="K125" s="4" t="s">
        <v>20</v>
      </c>
    </row>
    <row r="126" spans="1:11" x14ac:dyDescent="0.3">
      <c r="A126" s="5">
        <v>122</v>
      </c>
      <c r="B126" s="5" t="s">
        <v>1129</v>
      </c>
      <c r="C126" s="5" t="s">
        <v>282</v>
      </c>
      <c r="D126" s="5" t="s">
        <v>10</v>
      </c>
      <c r="E126" s="5" t="s">
        <v>283</v>
      </c>
      <c r="F126" s="5" t="s">
        <v>284</v>
      </c>
      <c r="G126" s="5" t="s">
        <v>1130</v>
      </c>
      <c r="H126" s="27" t="s">
        <v>1131</v>
      </c>
      <c r="I126" s="5" t="s">
        <v>13</v>
      </c>
      <c r="J126" s="5" t="s">
        <v>925</v>
      </c>
      <c r="K126" s="5" t="s">
        <v>285</v>
      </c>
    </row>
    <row r="127" spans="1:11" x14ac:dyDescent="0.3">
      <c r="A127" s="3">
        <v>123</v>
      </c>
      <c r="B127" s="3" t="s">
        <v>931</v>
      </c>
      <c r="C127" s="3" t="s">
        <v>101</v>
      </c>
      <c r="D127" s="3" t="s">
        <v>10</v>
      </c>
      <c r="E127" s="3" t="s">
        <v>283</v>
      </c>
      <c r="F127" s="3" t="s">
        <v>286</v>
      </c>
      <c r="G127" s="3" t="s">
        <v>965</v>
      </c>
      <c r="H127" s="25" t="s">
        <v>1131</v>
      </c>
      <c r="I127" s="3" t="s">
        <v>13</v>
      </c>
      <c r="J127" s="3" t="s">
        <v>927</v>
      </c>
      <c r="K127" s="3" t="s">
        <v>14</v>
      </c>
    </row>
    <row r="128" spans="1:11" x14ac:dyDescent="0.3">
      <c r="A128" s="4">
        <v>124</v>
      </c>
      <c r="B128" s="4" t="s">
        <v>1132</v>
      </c>
      <c r="C128" s="4" t="s">
        <v>287</v>
      </c>
      <c r="D128" s="4" t="s">
        <v>10</v>
      </c>
      <c r="E128" s="4" t="s">
        <v>283</v>
      </c>
      <c r="F128" s="4" t="s">
        <v>288</v>
      </c>
      <c r="G128" s="4" t="s">
        <v>1133</v>
      </c>
      <c r="H128" s="26" t="s">
        <v>1131</v>
      </c>
      <c r="I128" s="4" t="s">
        <v>13</v>
      </c>
      <c r="J128" s="4" t="s">
        <v>926</v>
      </c>
      <c r="K128" s="4" t="s">
        <v>118</v>
      </c>
    </row>
    <row r="129" spans="1:11" x14ac:dyDescent="0.3">
      <c r="A129" s="4">
        <v>125</v>
      </c>
      <c r="B129" s="4" t="s">
        <v>1134</v>
      </c>
      <c r="C129" s="4" t="s">
        <v>289</v>
      </c>
      <c r="D129" s="4" t="s">
        <v>10</v>
      </c>
      <c r="E129" s="4" t="s">
        <v>283</v>
      </c>
      <c r="F129" s="4" t="s">
        <v>290</v>
      </c>
      <c r="G129" s="4" t="s">
        <v>1130</v>
      </c>
      <c r="H129" s="26" t="s">
        <v>1131</v>
      </c>
      <c r="I129" s="4" t="s">
        <v>13</v>
      </c>
      <c r="J129" s="4" t="s">
        <v>926</v>
      </c>
      <c r="K129" s="4" t="s">
        <v>224</v>
      </c>
    </row>
    <row r="130" spans="1:11" x14ac:dyDescent="0.3">
      <c r="A130" s="5">
        <v>126</v>
      </c>
      <c r="B130" s="5" t="s">
        <v>1107</v>
      </c>
      <c r="C130" s="5" t="s">
        <v>291</v>
      </c>
      <c r="D130" s="5" t="s">
        <v>10</v>
      </c>
      <c r="E130" s="5" t="s">
        <v>283</v>
      </c>
      <c r="F130" s="5" t="s">
        <v>292</v>
      </c>
      <c r="G130" s="5" t="s">
        <v>1040</v>
      </c>
      <c r="H130" s="27" t="s">
        <v>1131</v>
      </c>
      <c r="I130" s="5" t="s">
        <v>13</v>
      </c>
      <c r="J130" s="5" t="s">
        <v>925</v>
      </c>
      <c r="K130" s="5" t="s">
        <v>14</v>
      </c>
    </row>
    <row r="131" spans="1:11" x14ac:dyDescent="0.3">
      <c r="A131" s="4">
        <v>127</v>
      </c>
      <c r="B131" s="4" t="s">
        <v>1135</v>
      </c>
      <c r="C131" s="4" t="s">
        <v>293</v>
      </c>
      <c r="D131" s="4" t="s">
        <v>10</v>
      </c>
      <c r="E131" s="4" t="s">
        <v>283</v>
      </c>
      <c r="F131" s="4" t="s">
        <v>284</v>
      </c>
      <c r="G131" s="4" t="s">
        <v>1136</v>
      </c>
      <c r="H131" s="26" t="s">
        <v>1131</v>
      </c>
      <c r="I131" s="4" t="s">
        <v>13</v>
      </c>
      <c r="J131" s="4" t="s">
        <v>926</v>
      </c>
      <c r="K131" s="4" t="s">
        <v>14</v>
      </c>
    </row>
    <row r="132" spans="1:11" x14ac:dyDescent="0.3">
      <c r="A132" s="5">
        <v>128</v>
      </c>
      <c r="B132" s="5" t="s">
        <v>1137</v>
      </c>
      <c r="C132" s="5" t="s">
        <v>294</v>
      </c>
      <c r="D132" s="5" t="s">
        <v>10</v>
      </c>
      <c r="E132" s="5" t="s">
        <v>283</v>
      </c>
      <c r="F132" s="5" t="s">
        <v>295</v>
      </c>
      <c r="G132" s="5" t="s">
        <v>1122</v>
      </c>
      <c r="H132" s="27" t="s">
        <v>1131</v>
      </c>
      <c r="I132" s="5" t="s">
        <v>13</v>
      </c>
      <c r="J132" s="5" t="s">
        <v>925</v>
      </c>
      <c r="K132" s="5" t="s">
        <v>285</v>
      </c>
    </row>
    <row r="133" spans="1:11" x14ac:dyDescent="0.3">
      <c r="A133" s="6">
        <v>129</v>
      </c>
      <c r="B133" s="6" t="s">
        <v>1138</v>
      </c>
      <c r="C133" s="6" t="s">
        <v>296</v>
      </c>
      <c r="D133" s="6" t="s">
        <v>10</v>
      </c>
      <c r="E133" s="6" t="s">
        <v>283</v>
      </c>
      <c r="F133" s="6" t="s">
        <v>292</v>
      </c>
      <c r="G133" s="6" t="s">
        <v>968</v>
      </c>
      <c r="H133" s="28" t="s">
        <v>1131</v>
      </c>
      <c r="I133" s="6" t="s">
        <v>13</v>
      </c>
      <c r="J133" s="6" t="s">
        <v>928</v>
      </c>
      <c r="K133" s="6" t="s">
        <v>14</v>
      </c>
    </row>
    <row r="134" spans="1:11" x14ac:dyDescent="0.3">
      <c r="A134" s="4">
        <v>130</v>
      </c>
      <c r="B134" s="4" t="s">
        <v>959</v>
      </c>
      <c r="C134" s="4" t="s">
        <v>297</v>
      </c>
      <c r="D134" s="4" t="s">
        <v>10</v>
      </c>
      <c r="E134" s="4" t="s">
        <v>283</v>
      </c>
      <c r="F134" s="4" t="s">
        <v>292</v>
      </c>
      <c r="G134" s="4" t="s">
        <v>968</v>
      </c>
      <c r="H134" s="26" t="s">
        <v>1131</v>
      </c>
      <c r="I134" s="4" t="s">
        <v>13</v>
      </c>
      <c r="J134" s="4" t="s">
        <v>926</v>
      </c>
      <c r="K134" s="4" t="s">
        <v>298</v>
      </c>
    </row>
    <row r="135" spans="1:11" x14ac:dyDescent="0.3">
      <c r="A135" s="4">
        <v>131</v>
      </c>
      <c r="B135" s="4" t="s">
        <v>959</v>
      </c>
      <c r="C135" s="4" t="s">
        <v>299</v>
      </c>
      <c r="D135" s="4" t="s">
        <v>10</v>
      </c>
      <c r="E135" s="4" t="s">
        <v>283</v>
      </c>
      <c r="F135" s="4" t="s">
        <v>292</v>
      </c>
      <c r="G135" s="4" t="s">
        <v>968</v>
      </c>
      <c r="H135" s="26" t="s">
        <v>1131</v>
      </c>
      <c r="I135" s="4" t="s">
        <v>13</v>
      </c>
      <c r="J135" s="4" t="s">
        <v>926</v>
      </c>
      <c r="K135" s="4" t="s">
        <v>298</v>
      </c>
    </row>
    <row r="136" spans="1:11" x14ac:dyDescent="0.3">
      <c r="A136" s="3">
        <v>132</v>
      </c>
      <c r="B136" s="3" t="s">
        <v>1103</v>
      </c>
      <c r="C136" s="3" t="s">
        <v>119</v>
      </c>
      <c r="D136" s="3" t="s">
        <v>10</v>
      </c>
      <c r="E136" s="3" t="s">
        <v>283</v>
      </c>
      <c r="F136" s="3" t="s">
        <v>300</v>
      </c>
      <c r="G136" s="3" t="s">
        <v>1090</v>
      </c>
      <c r="H136" s="25" t="s">
        <v>1131</v>
      </c>
      <c r="I136" s="3" t="s">
        <v>13</v>
      </c>
      <c r="J136" s="3" t="s">
        <v>927</v>
      </c>
      <c r="K136" s="3" t="s">
        <v>14</v>
      </c>
    </row>
    <row r="137" spans="1:11" x14ac:dyDescent="0.3">
      <c r="A137" s="3">
        <v>133</v>
      </c>
      <c r="B137" s="3" t="s">
        <v>1010</v>
      </c>
      <c r="C137" s="3" t="s">
        <v>110</v>
      </c>
      <c r="D137" s="3" t="s">
        <v>10</v>
      </c>
      <c r="E137" s="3" t="s">
        <v>283</v>
      </c>
      <c r="F137" s="3" t="s">
        <v>292</v>
      </c>
      <c r="G137" s="3" t="s">
        <v>1139</v>
      </c>
      <c r="H137" s="25" t="s">
        <v>1131</v>
      </c>
      <c r="I137" s="3" t="s">
        <v>13</v>
      </c>
      <c r="J137" s="3" t="s">
        <v>927</v>
      </c>
      <c r="K137" s="3" t="s">
        <v>14</v>
      </c>
    </row>
    <row r="138" spans="1:11" x14ac:dyDescent="0.3">
      <c r="A138" s="5">
        <v>134</v>
      </c>
      <c r="B138" s="5" t="s">
        <v>1140</v>
      </c>
      <c r="C138" s="5" t="s">
        <v>301</v>
      </c>
      <c r="D138" s="5" t="s">
        <v>10</v>
      </c>
      <c r="E138" s="5" t="s">
        <v>283</v>
      </c>
      <c r="F138" s="5" t="s">
        <v>302</v>
      </c>
      <c r="G138" s="5" t="s">
        <v>965</v>
      </c>
      <c r="H138" s="27" t="s">
        <v>1131</v>
      </c>
      <c r="I138" s="5" t="s">
        <v>13</v>
      </c>
      <c r="J138" s="5" t="s">
        <v>925</v>
      </c>
      <c r="K138" s="5" t="s">
        <v>27</v>
      </c>
    </row>
    <row r="139" spans="1:11" x14ac:dyDescent="0.3">
      <c r="A139" s="3">
        <v>135</v>
      </c>
      <c r="B139" s="3" t="s">
        <v>1000</v>
      </c>
      <c r="C139" s="3" t="s">
        <v>303</v>
      </c>
      <c r="D139" s="3" t="s">
        <v>10</v>
      </c>
      <c r="E139" s="3" t="s">
        <v>283</v>
      </c>
      <c r="F139" s="3" t="s">
        <v>304</v>
      </c>
      <c r="G139" s="3" t="s">
        <v>955</v>
      </c>
      <c r="H139" s="25" t="s">
        <v>1131</v>
      </c>
      <c r="I139" s="3" t="s">
        <v>13</v>
      </c>
      <c r="J139" s="3" t="s">
        <v>927</v>
      </c>
      <c r="K139" s="3" t="s">
        <v>14</v>
      </c>
    </row>
    <row r="140" spans="1:11" x14ac:dyDescent="0.3">
      <c r="A140" s="5">
        <v>136</v>
      </c>
      <c r="B140" s="5" t="s">
        <v>1141</v>
      </c>
      <c r="C140" s="5" t="s">
        <v>305</v>
      </c>
      <c r="D140" s="5" t="s">
        <v>10</v>
      </c>
      <c r="E140" s="5" t="s">
        <v>283</v>
      </c>
      <c r="F140" s="5" t="s">
        <v>306</v>
      </c>
      <c r="G140" s="5" t="s">
        <v>980</v>
      </c>
      <c r="H140" s="27" t="s">
        <v>1131</v>
      </c>
      <c r="I140" s="5" t="s">
        <v>13</v>
      </c>
      <c r="J140" s="5" t="s">
        <v>925</v>
      </c>
      <c r="K140" s="5" t="s">
        <v>224</v>
      </c>
    </row>
    <row r="141" spans="1:11" x14ac:dyDescent="0.3">
      <c r="A141" s="3">
        <v>137</v>
      </c>
      <c r="B141" s="3" t="s">
        <v>1142</v>
      </c>
      <c r="C141" s="3" t="s">
        <v>307</v>
      </c>
      <c r="D141" s="3" t="s">
        <v>10</v>
      </c>
      <c r="E141" s="3" t="s">
        <v>308</v>
      </c>
      <c r="F141" s="3" t="s">
        <v>53</v>
      </c>
      <c r="G141" s="3" t="s">
        <v>993</v>
      </c>
      <c r="H141" s="25" t="s">
        <v>1143</v>
      </c>
      <c r="I141" s="3" t="s">
        <v>13</v>
      </c>
      <c r="J141" s="3" t="s">
        <v>927</v>
      </c>
      <c r="K141" s="3" t="s">
        <v>20</v>
      </c>
    </row>
    <row r="142" spans="1:11" x14ac:dyDescent="0.3">
      <c r="A142" s="3">
        <v>138</v>
      </c>
      <c r="B142" s="3" t="s">
        <v>1144</v>
      </c>
      <c r="C142" s="3" t="s">
        <v>309</v>
      </c>
      <c r="D142" s="3" t="s">
        <v>10</v>
      </c>
      <c r="E142" s="3" t="s">
        <v>308</v>
      </c>
      <c r="F142" s="3" t="s">
        <v>171</v>
      </c>
      <c r="G142" s="3" t="s">
        <v>1122</v>
      </c>
      <c r="H142" s="25" t="s">
        <v>1143</v>
      </c>
      <c r="I142" s="3" t="s">
        <v>13</v>
      </c>
      <c r="J142" s="3" t="s">
        <v>927</v>
      </c>
      <c r="K142" s="3" t="s">
        <v>20</v>
      </c>
    </row>
    <row r="143" spans="1:11" x14ac:dyDescent="0.3">
      <c r="A143" s="5">
        <v>139</v>
      </c>
      <c r="B143" s="5" t="s">
        <v>1145</v>
      </c>
      <c r="C143" s="5" t="s">
        <v>310</v>
      </c>
      <c r="D143" s="5" t="s">
        <v>10</v>
      </c>
      <c r="E143" s="5" t="s">
        <v>311</v>
      </c>
      <c r="F143" s="5" t="s">
        <v>312</v>
      </c>
      <c r="G143" s="5" t="s">
        <v>1146</v>
      </c>
      <c r="H143" s="27" t="s">
        <v>1147</v>
      </c>
      <c r="I143" s="5" t="s">
        <v>13</v>
      </c>
      <c r="J143" s="5" t="s">
        <v>925</v>
      </c>
      <c r="K143" s="5" t="s">
        <v>98</v>
      </c>
    </row>
    <row r="144" spans="1:11" x14ac:dyDescent="0.3">
      <c r="A144" s="5">
        <v>140</v>
      </c>
      <c r="B144" s="5" t="s">
        <v>1148</v>
      </c>
      <c r="C144" s="5" t="s">
        <v>313</v>
      </c>
      <c r="D144" s="5" t="s">
        <v>10</v>
      </c>
      <c r="E144" s="5" t="s">
        <v>311</v>
      </c>
      <c r="F144" s="5" t="s">
        <v>314</v>
      </c>
      <c r="G144" s="5" t="s">
        <v>1122</v>
      </c>
      <c r="H144" s="27" t="s">
        <v>1147</v>
      </c>
      <c r="I144" s="5" t="s">
        <v>13</v>
      </c>
      <c r="J144" s="5" t="s">
        <v>925</v>
      </c>
      <c r="K144" s="5" t="s">
        <v>205</v>
      </c>
    </row>
    <row r="145" spans="1:11" x14ac:dyDescent="0.3">
      <c r="A145" s="4">
        <v>141</v>
      </c>
      <c r="B145" s="4" t="s">
        <v>1149</v>
      </c>
      <c r="C145" s="4" t="s">
        <v>315</v>
      </c>
      <c r="D145" s="4" t="s">
        <v>10</v>
      </c>
      <c r="E145" s="4" t="s">
        <v>316</v>
      </c>
      <c r="F145" s="4" t="s">
        <v>317</v>
      </c>
      <c r="G145" s="4" t="s">
        <v>1130</v>
      </c>
      <c r="H145" s="26" t="s">
        <v>1150</v>
      </c>
      <c r="I145" s="4" t="s">
        <v>13</v>
      </c>
      <c r="J145" s="4" t="s">
        <v>926</v>
      </c>
      <c r="K145" s="4" t="s">
        <v>20</v>
      </c>
    </row>
    <row r="146" spans="1:11" x14ac:dyDescent="0.3">
      <c r="A146" s="4">
        <v>142</v>
      </c>
      <c r="B146" s="4" t="s">
        <v>1151</v>
      </c>
      <c r="C146" s="4" t="s">
        <v>318</v>
      </c>
      <c r="D146" s="4" t="s">
        <v>10</v>
      </c>
      <c r="E146" s="4" t="s">
        <v>316</v>
      </c>
      <c r="F146" s="4" t="s">
        <v>319</v>
      </c>
      <c r="G146" s="4" t="s">
        <v>1152</v>
      </c>
      <c r="H146" s="26" t="s">
        <v>1150</v>
      </c>
      <c r="I146" s="4" t="s">
        <v>13</v>
      </c>
      <c r="J146" s="4" t="s">
        <v>926</v>
      </c>
      <c r="K146" s="4" t="s">
        <v>224</v>
      </c>
    </row>
    <row r="147" spans="1:11" x14ac:dyDescent="0.3">
      <c r="A147" s="5">
        <v>143</v>
      </c>
      <c r="B147" s="5" t="s">
        <v>1153</v>
      </c>
      <c r="C147" s="5" t="s">
        <v>320</v>
      </c>
      <c r="D147" s="5" t="s">
        <v>10</v>
      </c>
      <c r="E147" s="5" t="s">
        <v>316</v>
      </c>
      <c r="F147" s="5" t="s">
        <v>321</v>
      </c>
      <c r="G147" s="5" t="s">
        <v>1154</v>
      </c>
      <c r="H147" s="27" t="s">
        <v>1150</v>
      </c>
      <c r="I147" s="5" t="s">
        <v>13</v>
      </c>
      <c r="J147" s="5" t="s">
        <v>925</v>
      </c>
      <c r="K147" s="5" t="s">
        <v>165</v>
      </c>
    </row>
    <row r="148" spans="1:11" x14ac:dyDescent="0.3">
      <c r="A148" s="4">
        <v>144</v>
      </c>
      <c r="B148" s="4" t="s">
        <v>1155</v>
      </c>
      <c r="C148" s="4" t="s">
        <v>322</v>
      </c>
      <c r="D148" s="4" t="s">
        <v>10</v>
      </c>
      <c r="E148" s="4" t="s">
        <v>316</v>
      </c>
      <c r="F148" s="4" t="s">
        <v>48</v>
      </c>
      <c r="G148" s="4" t="s">
        <v>1156</v>
      </c>
      <c r="H148" s="26" t="s">
        <v>1150</v>
      </c>
      <c r="I148" s="4" t="s">
        <v>13</v>
      </c>
      <c r="J148" s="4" t="s">
        <v>926</v>
      </c>
      <c r="K148" s="4" t="s">
        <v>118</v>
      </c>
    </row>
    <row r="149" spans="1:11" x14ac:dyDescent="0.3">
      <c r="A149" s="4">
        <v>145</v>
      </c>
      <c r="B149" s="4" t="s">
        <v>1157</v>
      </c>
      <c r="C149" s="4" t="s">
        <v>323</v>
      </c>
      <c r="D149" s="4" t="s">
        <v>10</v>
      </c>
      <c r="E149" s="4" t="s">
        <v>316</v>
      </c>
      <c r="F149" s="4" t="s">
        <v>319</v>
      </c>
      <c r="G149" s="4" t="s">
        <v>1158</v>
      </c>
      <c r="H149" s="26" t="s">
        <v>1150</v>
      </c>
      <c r="I149" s="4" t="s">
        <v>13</v>
      </c>
      <c r="J149" s="4" t="s">
        <v>926</v>
      </c>
      <c r="K149" s="4" t="s">
        <v>139</v>
      </c>
    </row>
    <row r="150" spans="1:11" x14ac:dyDescent="0.3">
      <c r="A150" s="4">
        <v>146</v>
      </c>
      <c r="B150" s="4" t="s">
        <v>1159</v>
      </c>
      <c r="C150" s="4" t="s">
        <v>324</v>
      </c>
      <c r="D150" s="4" t="s">
        <v>10</v>
      </c>
      <c r="E150" s="4" t="s">
        <v>316</v>
      </c>
      <c r="F150" s="4" t="s">
        <v>325</v>
      </c>
      <c r="G150" s="4" t="s">
        <v>1139</v>
      </c>
      <c r="H150" s="26" t="s">
        <v>1150</v>
      </c>
      <c r="I150" s="4" t="s">
        <v>13</v>
      </c>
      <c r="J150" s="4" t="s">
        <v>926</v>
      </c>
      <c r="K150" s="4" t="s">
        <v>125</v>
      </c>
    </row>
    <row r="151" spans="1:11" x14ac:dyDescent="0.3">
      <c r="A151" s="4">
        <v>147</v>
      </c>
      <c r="B151" s="4" t="s">
        <v>1160</v>
      </c>
      <c r="C151" s="4" t="s">
        <v>326</v>
      </c>
      <c r="D151" s="4" t="s">
        <v>10</v>
      </c>
      <c r="E151" s="4" t="s">
        <v>316</v>
      </c>
      <c r="F151" s="4" t="s">
        <v>325</v>
      </c>
      <c r="G151" s="4" t="s">
        <v>1040</v>
      </c>
      <c r="H151" s="26" t="s">
        <v>1150</v>
      </c>
      <c r="I151" s="4" t="s">
        <v>13</v>
      </c>
      <c r="J151" s="4" t="s">
        <v>926</v>
      </c>
      <c r="K151" s="4" t="s">
        <v>224</v>
      </c>
    </row>
    <row r="152" spans="1:11" x14ac:dyDescent="0.3">
      <c r="A152" s="5">
        <v>148</v>
      </c>
      <c r="B152" s="5" t="s">
        <v>1161</v>
      </c>
      <c r="C152" s="5" t="s">
        <v>327</v>
      </c>
      <c r="D152" s="5" t="s">
        <v>10</v>
      </c>
      <c r="E152" s="5" t="s">
        <v>316</v>
      </c>
      <c r="F152" s="5" t="s">
        <v>328</v>
      </c>
      <c r="G152" s="5" t="s">
        <v>1162</v>
      </c>
      <c r="H152" s="27" t="s">
        <v>1150</v>
      </c>
      <c r="I152" s="5" t="s">
        <v>13</v>
      </c>
      <c r="J152" s="5" t="s">
        <v>925</v>
      </c>
      <c r="K152" s="5" t="s">
        <v>20</v>
      </c>
    </row>
    <row r="153" spans="1:11" x14ac:dyDescent="0.3">
      <c r="A153" s="4">
        <v>149</v>
      </c>
      <c r="B153" s="4" t="s">
        <v>1163</v>
      </c>
      <c r="C153" s="4" t="s">
        <v>329</v>
      </c>
      <c r="D153" s="4" t="s">
        <v>10</v>
      </c>
      <c r="E153" s="4" t="s">
        <v>330</v>
      </c>
      <c r="F153" s="4" t="s">
        <v>331</v>
      </c>
      <c r="G153" s="4" t="s">
        <v>938</v>
      </c>
      <c r="H153" s="26" t="s">
        <v>1164</v>
      </c>
      <c r="I153" s="4" t="s">
        <v>13</v>
      </c>
      <c r="J153" s="4" t="s">
        <v>926</v>
      </c>
      <c r="K153" s="4" t="s">
        <v>66</v>
      </c>
    </row>
    <row r="154" spans="1:11" x14ac:dyDescent="0.3">
      <c r="A154" s="4">
        <v>150</v>
      </c>
      <c r="B154" s="4" t="s">
        <v>1165</v>
      </c>
      <c r="C154" s="4" t="s">
        <v>332</v>
      </c>
      <c r="D154" s="4" t="s">
        <v>10</v>
      </c>
      <c r="E154" s="4" t="s">
        <v>330</v>
      </c>
      <c r="F154" s="4" t="s">
        <v>333</v>
      </c>
      <c r="G154" s="4" t="s">
        <v>1166</v>
      </c>
      <c r="H154" s="26" t="s">
        <v>1167</v>
      </c>
      <c r="I154" s="4" t="s">
        <v>13</v>
      </c>
      <c r="J154" s="4" t="s">
        <v>926</v>
      </c>
      <c r="K154" s="4" t="s">
        <v>20</v>
      </c>
    </row>
    <row r="155" spans="1:11" x14ac:dyDescent="0.3">
      <c r="A155" s="4">
        <v>151</v>
      </c>
      <c r="B155" s="4" t="s">
        <v>1168</v>
      </c>
      <c r="C155" s="4" t="s">
        <v>334</v>
      </c>
      <c r="D155" s="4" t="s">
        <v>10</v>
      </c>
      <c r="E155" s="4" t="s">
        <v>330</v>
      </c>
      <c r="F155" s="4" t="s">
        <v>335</v>
      </c>
      <c r="G155" s="4" t="s">
        <v>1045</v>
      </c>
      <c r="H155" s="26" t="s">
        <v>1169</v>
      </c>
      <c r="I155" s="4" t="s">
        <v>13</v>
      </c>
      <c r="J155" s="4" t="s">
        <v>926</v>
      </c>
      <c r="K155" s="4" t="s">
        <v>43</v>
      </c>
    </row>
    <row r="156" spans="1:11" x14ac:dyDescent="0.3">
      <c r="A156" s="6">
        <v>152</v>
      </c>
      <c r="B156" s="6" t="s">
        <v>1170</v>
      </c>
      <c r="C156" s="6" t="s">
        <v>336</v>
      </c>
      <c r="D156" s="6" t="s">
        <v>10</v>
      </c>
      <c r="E156" s="6" t="s">
        <v>330</v>
      </c>
      <c r="F156" s="6" t="s">
        <v>337</v>
      </c>
      <c r="G156" s="6" t="s">
        <v>1171</v>
      </c>
      <c r="H156" s="28" t="s">
        <v>1169</v>
      </c>
      <c r="I156" s="6" t="s">
        <v>13</v>
      </c>
      <c r="J156" s="6" t="s">
        <v>928</v>
      </c>
      <c r="K156" s="6" t="s">
        <v>43</v>
      </c>
    </row>
    <row r="157" spans="1:11" x14ac:dyDescent="0.3">
      <c r="A157" s="4">
        <v>153</v>
      </c>
      <c r="B157" s="4" t="s">
        <v>1172</v>
      </c>
      <c r="C157" s="4" t="s">
        <v>338</v>
      </c>
      <c r="D157" s="4" t="s">
        <v>10</v>
      </c>
      <c r="E157" s="4" t="s">
        <v>330</v>
      </c>
      <c r="F157" s="4" t="s">
        <v>339</v>
      </c>
      <c r="G157" s="4" t="s">
        <v>1173</v>
      </c>
      <c r="H157" s="26" t="s">
        <v>1169</v>
      </c>
      <c r="I157" s="4" t="s">
        <v>13</v>
      </c>
      <c r="J157" s="4" t="s">
        <v>926</v>
      </c>
      <c r="K157" s="4" t="s">
        <v>165</v>
      </c>
    </row>
    <row r="158" spans="1:11" x14ac:dyDescent="0.3">
      <c r="A158" s="4">
        <v>154</v>
      </c>
      <c r="B158" s="4" t="s">
        <v>1174</v>
      </c>
      <c r="C158" s="4" t="s">
        <v>340</v>
      </c>
      <c r="D158" s="4" t="s">
        <v>10</v>
      </c>
      <c r="E158" s="4" t="s">
        <v>330</v>
      </c>
      <c r="F158" s="4" t="s">
        <v>341</v>
      </c>
      <c r="G158" s="4" t="s">
        <v>1175</v>
      </c>
      <c r="H158" s="26" t="s">
        <v>1176</v>
      </c>
      <c r="I158" s="4" t="s">
        <v>13</v>
      </c>
      <c r="J158" s="4" t="s">
        <v>926</v>
      </c>
      <c r="K158" s="4" t="s">
        <v>342</v>
      </c>
    </row>
    <row r="159" spans="1:11" x14ac:dyDescent="0.3">
      <c r="A159" s="4">
        <v>155</v>
      </c>
      <c r="B159" s="4" t="s">
        <v>1177</v>
      </c>
      <c r="C159" s="4" t="s">
        <v>343</v>
      </c>
      <c r="D159" s="4" t="s">
        <v>10</v>
      </c>
      <c r="E159" s="4" t="s">
        <v>330</v>
      </c>
      <c r="F159" s="4" t="s">
        <v>344</v>
      </c>
      <c r="G159" s="4" t="s">
        <v>1178</v>
      </c>
      <c r="H159" s="26" t="s">
        <v>1164</v>
      </c>
      <c r="I159" s="4" t="s">
        <v>13</v>
      </c>
      <c r="J159" s="4" t="s">
        <v>926</v>
      </c>
      <c r="K159" s="4" t="s">
        <v>345</v>
      </c>
    </row>
    <row r="160" spans="1:11" x14ac:dyDescent="0.3">
      <c r="A160" s="4">
        <v>156</v>
      </c>
      <c r="B160" s="4" t="s">
        <v>1179</v>
      </c>
      <c r="C160" s="4" t="s">
        <v>346</v>
      </c>
      <c r="D160" s="4" t="s">
        <v>10</v>
      </c>
      <c r="E160" s="4" t="s">
        <v>330</v>
      </c>
      <c r="F160" s="4" t="s">
        <v>347</v>
      </c>
      <c r="G160" s="4" t="s">
        <v>1180</v>
      </c>
      <c r="H160" s="26" t="s">
        <v>1176</v>
      </c>
      <c r="I160" s="4" t="s">
        <v>13</v>
      </c>
      <c r="J160" s="4" t="s">
        <v>926</v>
      </c>
      <c r="K160" s="4" t="s">
        <v>43</v>
      </c>
    </row>
    <row r="161" spans="1:11" x14ac:dyDescent="0.3">
      <c r="A161" s="4">
        <v>157</v>
      </c>
      <c r="B161" s="4" t="s">
        <v>1181</v>
      </c>
      <c r="C161" s="4" t="s">
        <v>348</v>
      </c>
      <c r="D161" s="4" t="s">
        <v>10</v>
      </c>
      <c r="E161" s="4" t="s">
        <v>330</v>
      </c>
      <c r="F161" s="4" t="s">
        <v>349</v>
      </c>
      <c r="G161" s="4" t="s">
        <v>1182</v>
      </c>
      <c r="H161" s="26" t="s">
        <v>1183</v>
      </c>
      <c r="I161" s="4" t="s">
        <v>13</v>
      </c>
      <c r="J161" s="4" t="s">
        <v>926</v>
      </c>
      <c r="K161" s="4" t="s">
        <v>350</v>
      </c>
    </row>
    <row r="162" spans="1:11" x14ac:dyDescent="0.3">
      <c r="A162" s="5">
        <v>158</v>
      </c>
      <c r="B162" s="5" t="s">
        <v>1184</v>
      </c>
      <c r="C162" s="5" t="s">
        <v>351</v>
      </c>
      <c r="D162" s="5" t="s">
        <v>10</v>
      </c>
      <c r="E162" s="5" t="s">
        <v>330</v>
      </c>
      <c r="F162" s="5" t="s">
        <v>352</v>
      </c>
      <c r="G162" s="5" t="s">
        <v>955</v>
      </c>
      <c r="H162" s="27" t="s">
        <v>1185</v>
      </c>
      <c r="I162" s="5" t="s">
        <v>13</v>
      </c>
      <c r="J162" s="5" t="s">
        <v>925</v>
      </c>
      <c r="K162" s="5" t="s">
        <v>224</v>
      </c>
    </row>
    <row r="163" spans="1:11" x14ac:dyDescent="0.3">
      <c r="A163" s="5">
        <v>159</v>
      </c>
      <c r="B163" s="5" t="s">
        <v>1186</v>
      </c>
      <c r="C163" s="5" t="s">
        <v>353</v>
      </c>
      <c r="D163" s="5" t="s">
        <v>10</v>
      </c>
      <c r="E163" s="5" t="s">
        <v>330</v>
      </c>
      <c r="F163" s="5" t="s">
        <v>354</v>
      </c>
      <c r="G163" s="5" t="s">
        <v>946</v>
      </c>
      <c r="H163" s="27" t="s">
        <v>1187</v>
      </c>
      <c r="I163" s="5" t="s">
        <v>13</v>
      </c>
      <c r="J163" s="5" t="s">
        <v>925</v>
      </c>
      <c r="K163" s="5" t="s">
        <v>14</v>
      </c>
    </row>
    <row r="164" spans="1:11" x14ac:dyDescent="0.3">
      <c r="A164" s="4">
        <v>160</v>
      </c>
      <c r="B164" s="4" t="s">
        <v>1188</v>
      </c>
      <c r="C164" s="4" t="s">
        <v>355</v>
      </c>
      <c r="D164" s="4" t="s">
        <v>10</v>
      </c>
      <c r="E164" s="4" t="s">
        <v>330</v>
      </c>
      <c r="F164" s="4" t="s">
        <v>169</v>
      </c>
      <c r="G164" s="4" t="s">
        <v>955</v>
      </c>
      <c r="H164" s="26" t="s">
        <v>1185</v>
      </c>
      <c r="I164" s="4" t="s">
        <v>13</v>
      </c>
      <c r="J164" s="4" t="s">
        <v>926</v>
      </c>
      <c r="K164" s="4" t="s">
        <v>20</v>
      </c>
    </row>
    <row r="165" spans="1:11" x14ac:dyDescent="0.3">
      <c r="A165" s="5">
        <v>161</v>
      </c>
      <c r="B165" s="5" t="s">
        <v>1189</v>
      </c>
      <c r="C165" s="5" t="s">
        <v>356</v>
      </c>
      <c r="D165" s="5" t="s">
        <v>10</v>
      </c>
      <c r="E165" s="5" t="s">
        <v>330</v>
      </c>
      <c r="F165" s="5" t="s">
        <v>357</v>
      </c>
      <c r="G165" s="5" t="s">
        <v>942</v>
      </c>
      <c r="H165" s="27" t="s">
        <v>1190</v>
      </c>
      <c r="I165" s="5" t="s">
        <v>13</v>
      </c>
      <c r="J165" s="5" t="s">
        <v>925</v>
      </c>
      <c r="K165" s="5" t="s">
        <v>74</v>
      </c>
    </row>
    <row r="166" spans="1:11" x14ac:dyDescent="0.3">
      <c r="A166" s="3">
        <v>162</v>
      </c>
      <c r="B166" s="3" t="s">
        <v>931</v>
      </c>
      <c r="C166" s="3" t="s">
        <v>101</v>
      </c>
      <c r="D166" s="3" t="s">
        <v>10</v>
      </c>
      <c r="E166" s="3" t="s">
        <v>330</v>
      </c>
      <c r="F166" s="3" t="s">
        <v>358</v>
      </c>
      <c r="G166" s="3" t="s">
        <v>946</v>
      </c>
      <c r="H166" s="25" t="s">
        <v>1191</v>
      </c>
      <c r="I166" s="3" t="s">
        <v>13</v>
      </c>
      <c r="J166" s="3" t="s">
        <v>927</v>
      </c>
      <c r="K166" s="3" t="s">
        <v>14</v>
      </c>
    </row>
    <row r="167" spans="1:11" x14ac:dyDescent="0.3">
      <c r="A167" s="3">
        <v>163</v>
      </c>
      <c r="B167" s="3" t="s">
        <v>931</v>
      </c>
      <c r="C167" s="3" t="s">
        <v>101</v>
      </c>
      <c r="D167" s="3" t="s">
        <v>10</v>
      </c>
      <c r="E167" s="3" t="s">
        <v>330</v>
      </c>
      <c r="F167" s="3" t="s">
        <v>359</v>
      </c>
      <c r="G167" s="3" t="s">
        <v>950</v>
      </c>
      <c r="H167" s="25" t="s">
        <v>1167</v>
      </c>
      <c r="I167" s="3" t="s">
        <v>13</v>
      </c>
      <c r="J167" s="3" t="s">
        <v>927</v>
      </c>
      <c r="K167" s="3" t="s">
        <v>14</v>
      </c>
    </row>
    <row r="168" spans="1:11" x14ac:dyDescent="0.3">
      <c r="A168" s="3">
        <v>164</v>
      </c>
      <c r="B168" s="3" t="s">
        <v>931</v>
      </c>
      <c r="C168" s="3" t="s">
        <v>101</v>
      </c>
      <c r="D168" s="3" t="s">
        <v>10</v>
      </c>
      <c r="E168" s="3" t="s">
        <v>330</v>
      </c>
      <c r="F168" s="3" t="s">
        <v>360</v>
      </c>
      <c r="G168" s="3" t="s">
        <v>965</v>
      </c>
      <c r="H168" s="25" t="s">
        <v>1192</v>
      </c>
      <c r="I168" s="3" t="s">
        <v>13</v>
      </c>
      <c r="J168" s="3" t="s">
        <v>927</v>
      </c>
      <c r="K168" s="3" t="s">
        <v>14</v>
      </c>
    </row>
    <row r="169" spans="1:11" x14ac:dyDescent="0.3">
      <c r="A169" s="3">
        <v>165</v>
      </c>
      <c r="B169" s="3" t="s">
        <v>931</v>
      </c>
      <c r="C169" s="3" t="s">
        <v>54</v>
      </c>
      <c r="D169" s="3" t="s">
        <v>10</v>
      </c>
      <c r="E169" s="3" t="s">
        <v>330</v>
      </c>
      <c r="F169" s="3" t="s">
        <v>361</v>
      </c>
      <c r="G169" s="3" t="s">
        <v>1139</v>
      </c>
      <c r="H169" s="25" t="s">
        <v>1176</v>
      </c>
      <c r="I169" s="3" t="s">
        <v>13</v>
      </c>
      <c r="J169" s="3" t="s">
        <v>927</v>
      </c>
      <c r="K169" s="3" t="s">
        <v>14</v>
      </c>
    </row>
    <row r="170" spans="1:11" x14ac:dyDescent="0.3">
      <c r="A170" s="3">
        <v>166</v>
      </c>
      <c r="B170" s="3" t="s">
        <v>931</v>
      </c>
      <c r="C170" s="3" t="s">
        <v>54</v>
      </c>
      <c r="D170" s="3" t="s">
        <v>10</v>
      </c>
      <c r="E170" s="3" t="s">
        <v>330</v>
      </c>
      <c r="F170" s="3" t="s">
        <v>362</v>
      </c>
      <c r="G170" s="3" t="s">
        <v>955</v>
      </c>
      <c r="H170" s="25" t="s">
        <v>1193</v>
      </c>
      <c r="I170" s="3" t="s">
        <v>13</v>
      </c>
      <c r="J170" s="3" t="s">
        <v>927</v>
      </c>
      <c r="K170" s="3" t="s">
        <v>14</v>
      </c>
    </row>
    <row r="171" spans="1:11" x14ac:dyDescent="0.3">
      <c r="A171" s="3">
        <v>167</v>
      </c>
      <c r="B171" s="3" t="s">
        <v>931</v>
      </c>
      <c r="C171" s="3" t="s">
        <v>101</v>
      </c>
      <c r="D171" s="3" t="s">
        <v>10</v>
      </c>
      <c r="E171" s="3" t="s">
        <v>330</v>
      </c>
      <c r="F171" s="3" t="s">
        <v>363</v>
      </c>
      <c r="G171" s="3" t="s">
        <v>1194</v>
      </c>
      <c r="H171" s="25" t="s">
        <v>1195</v>
      </c>
      <c r="I171" s="3" t="s">
        <v>13</v>
      </c>
      <c r="J171" s="3" t="s">
        <v>927</v>
      </c>
      <c r="K171" s="3" t="s">
        <v>14</v>
      </c>
    </row>
    <row r="172" spans="1:11" x14ac:dyDescent="0.3">
      <c r="A172" s="3">
        <v>168</v>
      </c>
      <c r="B172" s="3" t="s">
        <v>931</v>
      </c>
      <c r="C172" s="3" t="s">
        <v>101</v>
      </c>
      <c r="D172" s="3" t="s">
        <v>10</v>
      </c>
      <c r="E172" s="3" t="s">
        <v>330</v>
      </c>
      <c r="F172" s="3" t="s">
        <v>256</v>
      </c>
      <c r="G172" s="3" t="s">
        <v>1065</v>
      </c>
      <c r="H172" s="25" t="s">
        <v>1185</v>
      </c>
      <c r="I172" s="3" t="s">
        <v>13</v>
      </c>
      <c r="J172" s="3" t="s">
        <v>927</v>
      </c>
      <c r="K172" s="3" t="s">
        <v>20</v>
      </c>
    </row>
    <row r="173" spans="1:11" x14ac:dyDescent="0.3">
      <c r="A173" s="3">
        <v>169</v>
      </c>
      <c r="B173" s="3" t="s">
        <v>931</v>
      </c>
      <c r="C173" s="3" t="s">
        <v>9</v>
      </c>
      <c r="D173" s="3" t="s">
        <v>10</v>
      </c>
      <c r="E173" s="3" t="s">
        <v>330</v>
      </c>
      <c r="F173" s="3" t="s">
        <v>364</v>
      </c>
      <c r="G173" s="3" t="s">
        <v>965</v>
      </c>
      <c r="H173" s="25" t="s">
        <v>1187</v>
      </c>
      <c r="I173" s="3" t="s">
        <v>13</v>
      </c>
      <c r="J173" s="3" t="s">
        <v>927</v>
      </c>
      <c r="K173" s="3" t="s">
        <v>20</v>
      </c>
    </row>
    <row r="174" spans="1:11" x14ac:dyDescent="0.3">
      <c r="A174" s="3">
        <v>170</v>
      </c>
      <c r="B174" s="3" t="s">
        <v>931</v>
      </c>
      <c r="C174" s="3" t="s">
        <v>101</v>
      </c>
      <c r="D174" s="3" t="s">
        <v>10</v>
      </c>
      <c r="E174" s="3" t="s">
        <v>330</v>
      </c>
      <c r="F174" s="3" t="s">
        <v>365</v>
      </c>
      <c r="G174" s="3" t="s">
        <v>980</v>
      </c>
      <c r="H174" s="25" t="s">
        <v>1169</v>
      </c>
      <c r="I174" s="3" t="s">
        <v>13</v>
      </c>
      <c r="J174" s="3" t="s">
        <v>927</v>
      </c>
      <c r="K174" s="3" t="s">
        <v>14</v>
      </c>
    </row>
    <row r="175" spans="1:11" x14ac:dyDescent="0.3">
      <c r="A175" s="3">
        <v>171</v>
      </c>
      <c r="B175" s="3" t="s">
        <v>931</v>
      </c>
      <c r="C175" s="3" t="s">
        <v>54</v>
      </c>
      <c r="D175" s="3" t="s">
        <v>10</v>
      </c>
      <c r="E175" s="3" t="s">
        <v>330</v>
      </c>
      <c r="F175" s="3" t="s">
        <v>366</v>
      </c>
      <c r="G175" s="3" t="s">
        <v>1095</v>
      </c>
      <c r="H175" s="25" t="s">
        <v>1196</v>
      </c>
      <c r="I175" s="3" t="s">
        <v>13</v>
      </c>
      <c r="J175" s="3" t="s">
        <v>927</v>
      </c>
      <c r="K175" s="3" t="s">
        <v>14</v>
      </c>
    </row>
    <row r="176" spans="1:11" x14ac:dyDescent="0.3">
      <c r="A176" s="3">
        <v>172</v>
      </c>
      <c r="B176" s="3" t="s">
        <v>931</v>
      </c>
      <c r="C176" s="3" t="s">
        <v>54</v>
      </c>
      <c r="D176" s="3" t="s">
        <v>10</v>
      </c>
      <c r="E176" s="3" t="s">
        <v>330</v>
      </c>
      <c r="F176" s="3" t="s">
        <v>367</v>
      </c>
      <c r="G176" s="3" t="s">
        <v>1197</v>
      </c>
      <c r="H176" s="25" t="s">
        <v>1198</v>
      </c>
      <c r="I176" s="3" t="s">
        <v>13</v>
      </c>
      <c r="J176" s="3" t="s">
        <v>927</v>
      </c>
      <c r="K176" s="3" t="s">
        <v>14</v>
      </c>
    </row>
    <row r="177" spans="1:11" x14ac:dyDescent="0.3">
      <c r="A177" s="4">
        <v>173</v>
      </c>
      <c r="B177" s="4" t="s">
        <v>931</v>
      </c>
      <c r="C177" s="4" t="s">
        <v>101</v>
      </c>
      <c r="D177" s="4" t="s">
        <v>10</v>
      </c>
      <c r="E177" s="4" t="s">
        <v>330</v>
      </c>
      <c r="F177" s="4" t="s">
        <v>368</v>
      </c>
      <c r="G177" s="4" t="s">
        <v>1199</v>
      </c>
      <c r="H177" s="26" t="s">
        <v>1191</v>
      </c>
      <c r="I177" s="4" t="s">
        <v>13</v>
      </c>
      <c r="J177" s="4" t="s">
        <v>926</v>
      </c>
      <c r="K177" s="4" t="s">
        <v>14</v>
      </c>
    </row>
    <row r="178" spans="1:11" x14ac:dyDescent="0.3">
      <c r="A178" s="4">
        <v>174</v>
      </c>
      <c r="B178" s="4" t="s">
        <v>1200</v>
      </c>
      <c r="C178" s="4" t="s">
        <v>369</v>
      </c>
      <c r="D178" s="4" t="s">
        <v>10</v>
      </c>
      <c r="E178" s="4" t="s">
        <v>330</v>
      </c>
      <c r="F178" s="4" t="s">
        <v>370</v>
      </c>
      <c r="G178" s="4" t="s">
        <v>982</v>
      </c>
      <c r="H178" s="26" t="s">
        <v>1164</v>
      </c>
      <c r="I178" s="4" t="s">
        <v>13</v>
      </c>
      <c r="J178" s="4" t="s">
        <v>926</v>
      </c>
      <c r="K178" s="4" t="s">
        <v>165</v>
      </c>
    </row>
    <row r="179" spans="1:11" x14ac:dyDescent="0.3">
      <c r="A179" s="4">
        <v>175</v>
      </c>
      <c r="B179" s="4" t="s">
        <v>1201</v>
      </c>
      <c r="C179" s="4" t="s">
        <v>371</v>
      </c>
      <c r="D179" s="4" t="s">
        <v>10</v>
      </c>
      <c r="E179" s="4" t="s">
        <v>330</v>
      </c>
      <c r="F179" s="4" t="s">
        <v>372</v>
      </c>
      <c r="G179" s="4" t="s">
        <v>1056</v>
      </c>
      <c r="H179" s="26" t="s">
        <v>1167</v>
      </c>
      <c r="I179" s="4" t="s">
        <v>13</v>
      </c>
      <c r="J179" s="4" t="s">
        <v>926</v>
      </c>
      <c r="K179" s="4" t="s">
        <v>20</v>
      </c>
    </row>
    <row r="180" spans="1:11" x14ac:dyDescent="0.3">
      <c r="A180" s="4">
        <v>176</v>
      </c>
      <c r="B180" s="4" t="s">
        <v>1202</v>
      </c>
      <c r="C180" s="4" t="s">
        <v>373</v>
      </c>
      <c r="D180" s="4" t="s">
        <v>10</v>
      </c>
      <c r="E180" s="4" t="s">
        <v>330</v>
      </c>
      <c r="F180" s="4" t="s">
        <v>374</v>
      </c>
      <c r="G180" s="4" t="s">
        <v>1065</v>
      </c>
      <c r="H180" s="26" t="s">
        <v>1169</v>
      </c>
      <c r="I180" s="4" t="s">
        <v>13</v>
      </c>
      <c r="J180" s="4" t="s">
        <v>926</v>
      </c>
      <c r="K180" s="4" t="s">
        <v>342</v>
      </c>
    </row>
    <row r="181" spans="1:11" x14ac:dyDescent="0.3">
      <c r="A181" s="4">
        <v>177</v>
      </c>
      <c r="B181" s="4" t="s">
        <v>1203</v>
      </c>
      <c r="C181" s="4" t="s">
        <v>375</v>
      </c>
      <c r="D181" s="4" t="s">
        <v>10</v>
      </c>
      <c r="E181" s="4" t="s">
        <v>330</v>
      </c>
      <c r="F181" s="4" t="s">
        <v>376</v>
      </c>
      <c r="G181" s="4" t="s">
        <v>1003</v>
      </c>
      <c r="H181" s="26" t="s">
        <v>1190</v>
      </c>
      <c r="I181" s="4" t="s">
        <v>13</v>
      </c>
      <c r="J181" s="4" t="s">
        <v>926</v>
      </c>
      <c r="K181" s="4" t="s">
        <v>20</v>
      </c>
    </row>
    <row r="182" spans="1:11" x14ac:dyDescent="0.3">
      <c r="A182" s="4">
        <v>178</v>
      </c>
      <c r="B182" s="4" t="s">
        <v>1204</v>
      </c>
      <c r="C182" s="4" t="s">
        <v>377</v>
      </c>
      <c r="D182" s="4" t="s">
        <v>10</v>
      </c>
      <c r="E182" s="4" t="s">
        <v>330</v>
      </c>
      <c r="F182" s="4" t="s">
        <v>378</v>
      </c>
      <c r="G182" s="4" t="s">
        <v>1205</v>
      </c>
      <c r="H182" s="26" t="s">
        <v>1206</v>
      </c>
      <c r="I182" s="4" t="s">
        <v>13</v>
      </c>
      <c r="J182" s="4" t="s">
        <v>926</v>
      </c>
      <c r="K182" s="4" t="s">
        <v>62</v>
      </c>
    </row>
    <row r="183" spans="1:11" x14ac:dyDescent="0.3">
      <c r="A183" s="4">
        <v>179</v>
      </c>
      <c r="B183" s="4" t="s">
        <v>1207</v>
      </c>
      <c r="C183" s="4" t="s">
        <v>379</v>
      </c>
      <c r="D183" s="4" t="s">
        <v>10</v>
      </c>
      <c r="E183" s="4" t="s">
        <v>330</v>
      </c>
      <c r="F183" s="4" t="s">
        <v>380</v>
      </c>
      <c r="G183" s="4" t="s">
        <v>1208</v>
      </c>
      <c r="H183" s="26" t="s">
        <v>1183</v>
      </c>
      <c r="I183" s="4" t="s">
        <v>13</v>
      </c>
      <c r="J183" s="4" t="s">
        <v>926</v>
      </c>
      <c r="K183" s="4" t="s">
        <v>165</v>
      </c>
    </row>
    <row r="184" spans="1:11" x14ac:dyDescent="0.3">
      <c r="A184" s="5">
        <v>180</v>
      </c>
      <c r="B184" s="5" t="s">
        <v>992</v>
      </c>
      <c r="C184" s="5" t="s">
        <v>88</v>
      </c>
      <c r="D184" s="5" t="s">
        <v>10</v>
      </c>
      <c r="E184" s="5" t="s">
        <v>330</v>
      </c>
      <c r="F184" s="5" t="s">
        <v>380</v>
      </c>
      <c r="G184" s="5" t="s">
        <v>1209</v>
      </c>
      <c r="H184" s="27" t="s">
        <v>1183</v>
      </c>
      <c r="I184" s="5" t="s">
        <v>13</v>
      </c>
      <c r="J184" s="5" t="s">
        <v>925</v>
      </c>
      <c r="K184" s="5" t="s">
        <v>43</v>
      </c>
    </row>
    <row r="185" spans="1:11" x14ac:dyDescent="0.3">
      <c r="A185" s="4">
        <v>181</v>
      </c>
      <c r="B185" s="4" t="s">
        <v>1210</v>
      </c>
      <c r="C185" s="4" t="s">
        <v>381</v>
      </c>
      <c r="D185" s="4" t="s">
        <v>10</v>
      </c>
      <c r="E185" s="4" t="s">
        <v>330</v>
      </c>
      <c r="F185" s="4" t="s">
        <v>382</v>
      </c>
      <c r="G185" s="4" t="s">
        <v>1211</v>
      </c>
      <c r="H185" s="26" t="s">
        <v>1164</v>
      </c>
      <c r="I185" s="4" t="s">
        <v>13</v>
      </c>
      <c r="J185" s="4" t="s">
        <v>926</v>
      </c>
      <c r="K185" s="4" t="s">
        <v>20</v>
      </c>
    </row>
    <row r="186" spans="1:11" x14ac:dyDescent="0.3">
      <c r="A186" s="4">
        <v>182</v>
      </c>
      <c r="B186" s="4" t="s">
        <v>1212</v>
      </c>
      <c r="C186" s="4" t="s">
        <v>383</v>
      </c>
      <c r="D186" s="4" t="s">
        <v>10</v>
      </c>
      <c r="E186" s="4" t="s">
        <v>330</v>
      </c>
      <c r="F186" s="4" t="s">
        <v>384</v>
      </c>
      <c r="G186" s="4" t="s">
        <v>955</v>
      </c>
      <c r="H186" s="26" t="s">
        <v>1183</v>
      </c>
      <c r="I186" s="4" t="s">
        <v>13</v>
      </c>
      <c r="J186" s="4" t="s">
        <v>926</v>
      </c>
      <c r="K186" s="4" t="s">
        <v>165</v>
      </c>
    </row>
    <row r="187" spans="1:11" x14ac:dyDescent="0.3">
      <c r="A187" s="4">
        <v>183</v>
      </c>
      <c r="B187" s="4" t="s">
        <v>1213</v>
      </c>
      <c r="C187" s="4" t="s">
        <v>385</v>
      </c>
      <c r="D187" s="4" t="s">
        <v>10</v>
      </c>
      <c r="E187" s="4" t="s">
        <v>330</v>
      </c>
      <c r="F187" s="4" t="s">
        <v>380</v>
      </c>
      <c r="G187" s="4" t="s">
        <v>1214</v>
      </c>
      <c r="H187" s="26" t="s">
        <v>1183</v>
      </c>
      <c r="I187" s="4" t="s">
        <v>13</v>
      </c>
      <c r="J187" s="4" t="s">
        <v>926</v>
      </c>
      <c r="K187" s="4" t="s">
        <v>254</v>
      </c>
    </row>
    <row r="188" spans="1:11" x14ac:dyDescent="0.3">
      <c r="A188" s="4">
        <v>184</v>
      </c>
      <c r="B188" s="4" t="s">
        <v>1215</v>
      </c>
      <c r="C188" s="4" t="s">
        <v>386</v>
      </c>
      <c r="D188" s="4" t="s">
        <v>10</v>
      </c>
      <c r="E188" s="4" t="s">
        <v>330</v>
      </c>
      <c r="F188" s="4" t="s">
        <v>333</v>
      </c>
      <c r="G188" s="4" t="s">
        <v>1033</v>
      </c>
      <c r="H188" s="26" t="s">
        <v>1167</v>
      </c>
      <c r="I188" s="4" t="s">
        <v>13</v>
      </c>
      <c r="J188" s="4" t="s">
        <v>926</v>
      </c>
      <c r="K188" s="4" t="s">
        <v>14</v>
      </c>
    </row>
    <row r="189" spans="1:11" x14ac:dyDescent="0.3">
      <c r="A189" s="4">
        <v>185</v>
      </c>
      <c r="B189" s="4" t="s">
        <v>1216</v>
      </c>
      <c r="C189" s="4" t="s">
        <v>387</v>
      </c>
      <c r="D189" s="4" t="s">
        <v>10</v>
      </c>
      <c r="E189" s="4" t="s">
        <v>330</v>
      </c>
      <c r="F189" s="4" t="s">
        <v>388</v>
      </c>
      <c r="G189" s="4" t="s">
        <v>1029</v>
      </c>
      <c r="H189" s="26" t="s">
        <v>1185</v>
      </c>
      <c r="I189" s="4" t="s">
        <v>13</v>
      </c>
      <c r="J189" s="4" t="s">
        <v>926</v>
      </c>
      <c r="K189" s="4" t="s">
        <v>20</v>
      </c>
    </row>
    <row r="190" spans="1:11" x14ac:dyDescent="0.3">
      <c r="A190" s="4">
        <v>186</v>
      </c>
      <c r="B190" s="4" t="s">
        <v>1217</v>
      </c>
      <c r="C190" s="4" t="s">
        <v>389</v>
      </c>
      <c r="D190" s="4" t="s">
        <v>10</v>
      </c>
      <c r="E190" s="4" t="s">
        <v>330</v>
      </c>
      <c r="F190" s="4" t="s">
        <v>390</v>
      </c>
      <c r="G190" s="4" t="s">
        <v>1136</v>
      </c>
      <c r="H190" s="26" t="s">
        <v>1190</v>
      </c>
      <c r="I190" s="4" t="s">
        <v>13</v>
      </c>
      <c r="J190" s="4" t="s">
        <v>926</v>
      </c>
      <c r="K190" s="4" t="s">
        <v>14</v>
      </c>
    </row>
    <row r="191" spans="1:11" x14ac:dyDescent="0.3">
      <c r="A191" s="4">
        <v>187</v>
      </c>
      <c r="B191" s="4" t="s">
        <v>1218</v>
      </c>
      <c r="C191" s="4" t="s">
        <v>391</v>
      </c>
      <c r="D191" s="4" t="s">
        <v>10</v>
      </c>
      <c r="E191" s="4" t="s">
        <v>330</v>
      </c>
      <c r="F191" s="4" t="s">
        <v>392</v>
      </c>
      <c r="G191" s="4" t="s">
        <v>1219</v>
      </c>
      <c r="H191" s="26" t="s">
        <v>1193</v>
      </c>
      <c r="I191" s="4" t="s">
        <v>13</v>
      </c>
      <c r="J191" s="4" t="s">
        <v>926</v>
      </c>
      <c r="K191" s="4" t="s">
        <v>20</v>
      </c>
    </row>
    <row r="192" spans="1:11" x14ac:dyDescent="0.3">
      <c r="A192" s="6">
        <v>188</v>
      </c>
      <c r="B192" s="6" t="s">
        <v>1220</v>
      </c>
      <c r="C192" s="6" t="s">
        <v>393</v>
      </c>
      <c r="D192" s="6" t="s">
        <v>10</v>
      </c>
      <c r="E192" s="6" t="s">
        <v>330</v>
      </c>
      <c r="F192" s="6" t="s">
        <v>394</v>
      </c>
      <c r="G192" s="6" t="s">
        <v>1221</v>
      </c>
      <c r="H192" s="28" t="s">
        <v>1190</v>
      </c>
      <c r="I192" s="6" t="s">
        <v>13</v>
      </c>
      <c r="J192" s="6" t="s">
        <v>928</v>
      </c>
      <c r="K192" s="6" t="s">
        <v>20</v>
      </c>
    </row>
    <row r="193" spans="1:11" x14ac:dyDescent="0.3">
      <c r="A193" s="4">
        <v>189</v>
      </c>
      <c r="B193" s="4" t="s">
        <v>1222</v>
      </c>
      <c r="C193" s="4" t="s">
        <v>395</v>
      </c>
      <c r="D193" s="4" t="s">
        <v>10</v>
      </c>
      <c r="E193" s="4" t="s">
        <v>330</v>
      </c>
      <c r="F193" s="4" t="s">
        <v>337</v>
      </c>
      <c r="G193" s="4" t="s">
        <v>1223</v>
      </c>
      <c r="H193" s="26" t="s">
        <v>1169</v>
      </c>
      <c r="I193" s="4" t="s">
        <v>13</v>
      </c>
      <c r="J193" s="4" t="s">
        <v>926</v>
      </c>
      <c r="K193" s="4" t="s">
        <v>43</v>
      </c>
    </row>
    <row r="194" spans="1:11" x14ac:dyDescent="0.3">
      <c r="A194" s="4">
        <v>190</v>
      </c>
      <c r="B194" s="4" t="s">
        <v>1224</v>
      </c>
      <c r="C194" s="4" t="s">
        <v>396</v>
      </c>
      <c r="D194" s="4" t="s">
        <v>10</v>
      </c>
      <c r="E194" s="4" t="s">
        <v>330</v>
      </c>
      <c r="F194" s="4" t="s">
        <v>397</v>
      </c>
      <c r="G194" s="4" t="s">
        <v>1225</v>
      </c>
      <c r="H194" s="26" t="s">
        <v>1167</v>
      </c>
      <c r="I194" s="4" t="s">
        <v>13</v>
      </c>
      <c r="J194" s="4" t="s">
        <v>926</v>
      </c>
      <c r="K194" s="4" t="s">
        <v>398</v>
      </c>
    </row>
    <row r="195" spans="1:11" x14ac:dyDescent="0.3">
      <c r="A195" s="5">
        <v>191</v>
      </c>
      <c r="B195" s="5" t="s">
        <v>1226</v>
      </c>
      <c r="C195" s="5" t="s">
        <v>399</v>
      </c>
      <c r="D195" s="5" t="s">
        <v>10</v>
      </c>
      <c r="E195" s="5" t="s">
        <v>330</v>
      </c>
      <c r="F195" s="5" t="s">
        <v>400</v>
      </c>
      <c r="G195" s="5" t="s">
        <v>1227</v>
      </c>
      <c r="H195" s="27" t="s">
        <v>1183</v>
      </c>
      <c r="I195" s="5" t="s">
        <v>13</v>
      </c>
      <c r="J195" s="5" t="s">
        <v>925</v>
      </c>
      <c r="K195" s="5" t="s">
        <v>224</v>
      </c>
    </row>
    <row r="196" spans="1:11" x14ac:dyDescent="0.3">
      <c r="A196" s="4">
        <v>192</v>
      </c>
      <c r="B196" s="4" t="s">
        <v>1228</v>
      </c>
      <c r="C196" s="4" t="s">
        <v>401</v>
      </c>
      <c r="D196" s="4" t="s">
        <v>10</v>
      </c>
      <c r="E196" s="4" t="s">
        <v>330</v>
      </c>
      <c r="F196" s="4" t="s">
        <v>402</v>
      </c>
      <c r="G196" s="4" t="s">
        <v>938</v>
      </c>
      <c r="H196" s="26" t="s">
        <v>1191</v>
      </c>
      <c r="I196" s="4" t="s">
        <v>13</v>
      </c>
      <c r="J196" s="4" t="s">
        <v>926</v>
      </c>
      <c r="K196" s="4" t="s">
        <v>14</v>
      </c>
    </row>
    <row r="197" spans="1:11" x14ac:dyDescent="0.3">
      <c r="A197" s="4">
        <v>193</v>
      </c>
      <c r="B197" s="4" t="s">
        <v>1229</v>
      </c>
      <c r="C197" s="4" t="s">
        <v>403</v>
      </c>
      <c r="D197" s="4" t="s">
        <v>10</v>
      </c>
      <c r="E197" s="4" t="s">
        <v>330</v>
      </c>
      <c r="F197" s="4" t="s">
        <v>404</v>
      </c>
      <c r="G197" s="4" t="s">
        <v>1230</v>
      </c>
      <c r="H197" s="26" t="s">
        <v>1190</v>
      </c>
      <c r="I197" s="4" t="s">
        <v>13</v>
      </c>
      <c r="J197" s="4" t="s">
        <v>926</v>
      </c>
      <c r="K197" s="4" t="s">
        <v>20</v>
      </c>
    </row>
    <row r="198" spans="1:11" x14ac:dyDescent="0.3">
      <c r="A198" s="4">
        <v>194</v>
      </c>
      <c r="B198" s="4" t="s">
        <v>1231</v>
      </c>
      <c r="C198" s="4" t="s">
        <v>405</v>
      </c>
      <c r="D198" s="4" t="s">
        <v>10</v>
      </c>
      <c r="E198" s="4" t="s">
        <v>330</v>
      </c>
      <c r="F198" s="4" t="s">
        <v>406</v>
      </c>
      <c r="G198" s="4" t="s">
        <v>1232</v>
      </c>
      <c r="H198" s="26" t="s">
        <v>1190</v>
      </c>
      <c r="I198" s="4" t="s">
        <v>13</v>
      </c>
      <c r="J198" s="4" t="s">
        <v>926</v>
      </c>
      <c r="K198" s="4" t="s">
        <v>20</v>
      </c>
    </row>
    <row r="199" spans="1:11" x14ac:dyDescent="0.3">
      <c r="A199" s="5">
        <v>195</v>
      </c>
      <c r="B199" s="5" t="s">
        <v>1233</v>
      </c>
      <c r="C199" s="5" t="s">
        <v>407</v>
      </c>
      <c r="D199" s="5" t="s">
        <v>10</v>
      </c>
      <c r="E199" s="5" t="s">
        <v>330</v>
      </c>
      <c r="F199" s="5" t="s">
        <v>380</v>
      </c>
      <c r="G199" s="5" t="s">
        <v>1214</v>
      </c>
      <c r="H199" s="27" t="s">
        <v>1183</v>
      </c>
      <c r="I199" s="5" t="s">
        <v>13</v>
      </c>
      <c r="J199" s="5" t="s">
        <v>925</v>
      </c>
      <c r="K199" s="5" t="s">
        <v>165</v>
      </c>
    </row>
    <row r="200" spans="1:11" x14ac:dyDescent="0.3">
      <c r="A200" s="4">
        <v>196</v>
      </c>
      <c r="B200" s="4" t="s">
        <v>1234</v>
      </c>
      <c r="C200" s="4" t="s">
        <v>408</v>
      </c>
      <c r="D200" s="4" t="s">
        <v>10</v>
      </c>
      <c r="E200" s="4" t="s">
        <v>330</v>
      </c>
      <c r="F200" s="4" t="s">
        <v>409</v>
      </c>
      <c r="G200" s="4" t="s">
        <v>1130</v>
      </c>
      <c r="H200" s="26" t="s">
        <v>1185</v>
      </c>
      <c r="I200" s="4" t="s">
        <v>13</v>
      </c>
      <c r="J200" s="4" t="s">
        <v>926</v>
      </c>
      <c r="K200" s="4" t="s">
        <v>20</v>
      </c>
    </row>
    <row r="201" spans="1:11" x14ac:dyDescent="0.3">
      <c r="A201" s="4">
        <v>197</v>
      </c>
      <c r="B201" s="4" t="s">
        <v>1235</v>
      </c>
      <c r="C201" s="4" t="s">
        <v>232</v>
      </c>
      <c r="D201" s="4" t="s">
        <v>10</v>
      </c>
      <c r="E201" s="4" t="s">
        <v>330</v>
      </c>
      <c r="F201" s="4" t="s">
        <v>410</v>
      </c>
      <c r="G201" s="4" t="s">
        <v>1236</v>
      </c>
      <c r="H201" s="26" t="s">
        <v>1176</v>
      </c>
      <c r="I201" s="4" t="s">
        <v>13</v>
      </c>
      <c r="J201" s="4" t="s">
        <v>926</v>
      </c>
      <c r="K201" s="4" t="s">
        <v>411</v>
      </c>
    </row>
    <row r="202" spans="1:11" x14ac:dyDescent="0.3">
      <c r="A202" s="4">
        <v>198</v>
      </c>
      <c r="B202" s="4" t="s">
        <v>1237</v>
      </c>
      <c r="C202" s="4" t="s">
        <v>412</v>
      </c>
      <c r="D202" s="4" t="s">
        <v>10</v>
      </c>
      <c r="E202" s="4" t="s">
        <v>330</v>
      </c>
      <c r="F202" s="4" t="s">
        <v>413</v>
      </c>
      <c r="G202" s="4" t="s">
        <v>1238</v>
      </c>
      <c r="H202" s="26" t="s">
        <v>1190</v>
      </c>
      <c r="I202" s="4" t="s">
        <v>13</v>
      </c>
      <c r="J202" s="4" t="s">
        <v>926</v>
      </c>
      <c r="K202" s="4" t="s">
        <v>20</v>
      </c>
    </row>
    <row r="203" spans="1:11" x14ac:dyDescent="0.3">
      <c r="A203" s="4">
        <v>199</v>
      </c>
      <c r="B203" s="4" t="s">
        <v>1239</v>
      </c>
      <c r="C203" s="4" t="s">
        <v>414</v>
      </c>
      <c r="D203" s="4" t="s">
        <v>10</v>
      </c>
      <c r="E203" s="4" t="s">
        <v>330</v>
      </c>
      <c r="F203" s="4" t="s">
        <v>404</v>
      </c>
      <c r="G203" s="4" t="s">
        <v>1166</v>
      </c>
      <c r="H203" s="26" t="s">
        <v>1190</v>
      </c>
      <c r="I203" s="4" t="s">
        <v>13</v>
      </c>
      <c r="J203" s="4" t="s">
        <v>926</v>
      </c>
      <c r="K203" s="4" t="s">
        <v>43</v>
      </c>
    </row>
    <row r="204" spans="1:11" x14ac:dyDescent="0.3">
      <c r="A204" s="4">
        <v>200</v>
      </c>
      <c r="B204" s="4" t="s">
        <v>1240</v>
      </c>
      <c r="C204" s="4" t="s">
        <v>415</v>
      </c>
      <c r="D204" s="4" t="s">
        <v>10</v>
      </c>
      <c r="E204" s="4" t="s">
        <v>330</v>
      </c>
      <c r="F204" s="4" t="s">
        <v>416</v>
      </c>
      <c r="G204" s="4" t="s">
        <v>1182</v>
      </c>
      <c r="H204" s="26" t="s">
        <v>1206</v>
      </c>
      <c r="I204" s="4" t="s">
        <v>13</v>
      </c>
      <c r="J204" s="4" t="s">
        <v>926</v>
      </c>
      <c r="K204" s="4" t="s">
        <v>118</v>
      </c>
    </row>
    <row r="205" spans="1:11" x14ac:dyDescent="0.3">
      <c r="A205" s="4">
        <v>201</v>
      </c>
      <c r="B205" s="4" t="s">
        <v>1241</v>
      </c>
      <c r="C205" s="4" t="s">
        <v>417</v>
      </c>
      <c r="D205" s="4" t="s">
        <v>10</v>
      </c>
      <c r="E205" s="4" t="s">
        <v>330</v>
      </c>
      <c r="F205" s="4" t="s">
        <v>418</v>
      </c>
      <c r="G205" s="4" t="s">
        <v>957</v>
      </c>
      <c r="H205" s="26" t="s">
        <v>1167</v>
      </c>
      <c r="I205" s="4" t="s">
        <v>13</v>
      </c>
      <c r="J205" s="4" t="s">
        <v>926</v>
      </c>
      <c r="K205" s="4" t="s">
        <v>66</v>
      </c>
    </row>
    <row r="206" spans="1:11" x14ac:dyDescent="0.3">
      <c r="A206" s="4">
        <v>202</v>
      </c>
      <c r="B206" s="4" t="s">
        <v>1242</v>
      </c>
      <c r="C206" s="4" t="s">
        <v>419</v>
      </c>
      <c r="D206" s="4" t="s">
        <v>10</v>
      </c>
      <c r="E206" s="4" t="s">
        <v>330</v>
      </c>
      <c r="F206" s="4" t="s">
        <v>420</v>
      </c>
      <c r="G206" s="4" t="s">
        <v>982</v>
      </c>
      <c r="H206" s="26" t="s">
        <v>1198</v>
      </c>
      <c r="I206" s="4" t="s">
        <v>13</v>
      </c>
      <c r="J206" s="4" t="s">
        <v>926</v>
      </c>
      <c r="K206" s="4" t="s">
        <v>66</v>
      </c>
    </row>
    <row r="207" spans="1:11" x14ac:dyDescent="0.3">
      <c r="A207" s="4">
        <v>203</v>
      </c>
      <c r="B207" s="4" t="s">
        <v>1243</v>
      </c>
      <c r="C207" s="4" t="s">
        <v>421</v>
      </c>
      <c r="D207" s="4" t="s">
        <v>10</v>
      </c>
      <c r="E207" s="4" t="s">
        <v>330</v>
      </c>
      <c r="F207" s="4" t="s">
        <v>422</v>
      </c>
      <c r="G207" s="4" t="s">
        <v>1232</v>
      </c>
      <c r="H207" s="26" t="s">
        <v>1185</v>
      </c>
      <c r="I207" s="4" t="s">
        <v>13</v>
      </c>
      <c r="J207" s="4" t="s">
        <v>926</v>
      </c>
      <c r="K207" s="4" t="s">
        <v>224</v>
      </c>
    </row>
    <row r="208" spans="1:11" x14ac:dyDescent="0.3">
      <c r="A208" s="5">
        <v>204</v>
      </c>
      <c r="B208" s="5" t="s">
        <v>1244</v>
      </c>
      <c r="C208" s="5" t="s">
        <v>423</v>
      </c>
      <c r="D208" s="5" t="s">
        <v>10</v>
      </c>
      <c r="E208" s="5" t="s">
        <v>330</v>
      </c>
      <c r="F208" s="5" t="s">
        <v>413</v>
      </c>
      <c r="G208" s="5" t="s">
        <v>1221</v>
      </c>
      <c r="H208" s="27" t="s">
        <v>1190</v>
      </c>
      <c r="I208" s="5" t="s">
        <v>13</v>
      </c>
      <c r="J208" s="5" t="s">
        <v>923</v>
      </c>
      <c r="K208" s="5" t="s">
        <v>165</v>
      </c>
    </row>
    <row r="209" spans="1:11" x14ac:dyDescent="0.3">
      <c r="A209" s="4">
        <v>205</v>
      </c>
      <c r="B209" s="4" t="s">
        <v>1245</v>
      </c>
      <c r="C209" s="4" t="s">
        <v>424</v>
      </c>
      <c r="D209" s="4" t="s">
        <v>10</v>
      </c>
      <c r="E209" s="4" t="s">
        <v>330</v>
      </c>
      <c r="F209" s="4" t="s">
        <v>53</v>
      </c>
      <c r="G209" s="4" t="s">
        <v>1136</v>
      </c>
      <c r="H209" s="26" t="s">
        <v>1190</v>
      </c>
      <c r="I209" s="4" t="s">
        <v>13</v>
      </c>
      <c r="J209" s="4" t="s">
        <v>926</v>
      </c>
      <c r="K209" s="4" t="s">
        <v>20</v>
      </c>
    </row>
    <row r="210" spans="1:11" x14ac:dyDescent="0.3">
      <c r="A210" s="4">
        <v>206</v>
      </c>
      <c r="B210" s="4" t="s">
        <v>1246</v>
      </c>
      <c r="C210" s="4" t="s">
        <v>425</v>
      </c>
      <c r="D210" s="4" t="s">
        <v>10</v>
      </c>
      <c r="E210" s="4" t="s">
        <v>330</v>
      </c>
      <c r="F210" s="4" t="s">
        <v>426</v>
      </c>
      <c r="G210" s="4" t="s">
        <v>1247</v>
      </c>
      <c r="H210" s="26" t="s">
        <v>1190</v>
      </c>
      <c r="I210" s="4" t="s">
        <v>13</v>
      </c>
      <c r="J210" s="4" t="s">
        <v>926</v>
      </c>
      <c r="K210" s="4" t="s">
        <v>43</v>
      </c>
    </row>
    <row r="211" spans="1:11" x14ac:dyDescent="0.3">
      <c r="A211" s="4">
        <v>207</v>
      </c>
      <c r="B211" s="4" t="s">
        <v>1248</v>
      </c>
      <c r="C211" s="4" t="s">
        <v>427</v>
      </c>
      <c r="D211" s="4" t="s">
        <v>10</v>
      </c>
      <c r="E211" s="4" t="s">
        <v>330</v>
      </c>
      <c r="F211" s="4" t="s">
        <v>428</v>
      </c>
      <c r="G211" s="4" t="s">
        <v>1249</v>
      </c>
      <c r="H211" s="26" t="s">
        <v>1176</v>
      </c>
      <c r="I211" s="4" t="s">
        <v>13</v>
      </c>
      <c r="J211" s="4" t="s">
        <v>926</v>
      </c>
      <c r="K211" s="4" t="s">
        <v>14</v>
      </c>
    </row>
    <row r="212" spans="1:11" x14ac:dyDescent="0.3">
      <c r="A212" s="5">
        <v>208</v>
      </c>
      <c r="B212" s="5" t="s">
        <v>1250</v>
      </c>
      <c r="C212" s="5" t="s">
        <v>429</v>
      </c>
      <c r="D212" s="5" t="s">
        <v>10</v>
      </c>
      <c r="E212" s="5" t="s">
        <v>330</v>
      </c>
      <c r="F212" s="5" t="s">
        <v>430</v>
      </c>
      <c r="G212" s="5" t="s">
        <v>1251</v>
      </c>
      <c r="H212" s="27" t="s">
        <v>1187</v>
      </c>
      <c r="I212" s="5" t="s">
        <v>13</v>
      </c>
      <c r="J212" s="5" t="s">
        <v>925</v>
      </c>
      <c r="K212" s="5" t="s">
        <v>43</v>
      </c>
    </row>
    <row r="213" spans="1:11" x14ac:dyDescent="0.3">
      <c r="A213" s="3">
        <v>209</v>
      </c>
      <c r="B213" s="3" t="s">
        <v>981</v>
      </c>
      <c r="C213" s="3" t="s">
        <v>431</v>
      </c>
      <c r="D213" s="3" t="s">
        <v>10</v>
      </c>
      <c r="E213" s="3" t="s">
        <v>330</v>
      </c>
      <c r="F213" s="3" t="s">
        <v>432</v>
      </c>
      <c r="G213" s="3" t="s">
        <v>1252</v>
      </c>
      <c r="H213" s="25" t="s">
        <v>1195</v>
      </c>
      <c r="I213" s="3" t="s">
        <v>13</v>
      </c>
      <c r="J213" s="3" t="s">
        <v>927</v>
      </c>
      <c r="K213" s="3" t="s">
        <v>58</v>
      </c>
    </row>
    <row r="214" spans="1:11" x14ac:dyDescent="0.3">
      <c r="A214" s="5">
        <v>210</v>
      </c>
      <c r="B214" s="5" t="s">
        <v>1253</v>
      </c>
      <c r="C214" s="5" t="s">
        <v>433</v>
      </c>
      <c r="D214" s="5" t="s">
        <v>10</v>
      </c>
      <c r="E214" s="5" t="s">
        <v>330</v>
      </c>
      <c r="F214" s="5" t="s">
        <v>434</v>
      </c>
      <c r="G214" s="5" t="s">
        <v>1034</v>
      </c>
      <c r="H214" s="27" t="s">
        <v>1254</v>
      </c>
      <c r="I214" s="5" t="s">
        <v>13</v>
      </c>
      <c r="J214" s="5" t="s">
        <v>925</v>
      </c>
      <c r="K214" s="5" t="s">
        <v>43</v>
      </c>
    </row>
    <row r="215" spans="1:11" x14ac:dyDescent="0.3">
      <c r="A215" s="5">
        <v>211</v>
      </c>
      <c r="B215" s="5" t="s">
        <v>1255</v>
      </c>
      <c r="C215" s="5" t="s">
        <v>435</v>
      </c>
      <c r="D215" s="5" t="s">
        <v>10</v>
      </c>
      <c r="E215" s="5" t="s">
        <v>330</v>
      </c>
      <c r="F215" s="5" t="s">
        <v>436</v>
      </c>
      <c r="G215" s="5" t="s">
        <v>1256</v>
      </c>
      <c r="H215" s="27" t="s">
        <v>1183</v>
      </c>
      <c r="I215" s="5" t="s">
        <v>13</v>
      </c>
      <c r="J215" s="5" t="s">
        <v>925</v>
      </c>
      <c r="K215" s="5" t="s">
        <v>14</v>
      </c>
    </row>
    <row r="216" spans="1:11" x14ac:dyDescent="0.3">
      <c r="A216" s="4">
        <v>212</v>
      </c>
      <c r="B216" s="4" t="s">
        <v>1257</v>
      </c>
      <c r="C216" s="4" t="s">
        <v>437</v>
      </c>
      <c r="D216" s="4" t="s">
        <v>10</v>
      </c>
      <c r="E216" s="4" t="s">
        <v>330</v>
      </c>
      <c r="F216" s="4" t="s">
        <v>339</v>
      </c>
      <c r="G216" s="4" t="s">
        <v>950</v>
      </c>
      <c r="H216" s="26" t="s">
        <v>1169</v>
      </c>
      <c r="I216" s="4" t="s">
        <v>13</v>
      </c>
      <c r="J216" s="4" t="s">
        <v>926</v>
      </c>
      <c r="K216" s="4" t="s">
        <v>165</v>
      </c>
    </row>
    <row r="217" spans="1:11" x14ac:dyDescent="0.3">
      <c r="A217" s="4">
        <v>213</v>
      </c>
      <c r="B217" s="4" t="s">
        <v>1258</v>
      </c>
      <c r="C217" s="4" t="s">
        <v>438</v>
      </c>
      <c r="D217" s="4" t="s">
        <v>10</v>
      </c>
      <c r="E217" s="4" t="s">
        <v>330</v>
      </c>
      <c r="F217" s="4" t="s">
        <v>171</v>
      </c>
      <c r="G217" s="4" t="s">
        <v>1259</v>
      </c>
      <c r="H217" s="26" t="s">
        <v>1191</v>
      </c>
      <c r="I217" s="4" t="s">
        <v>13</v>
      </c>
      <c r="J217" s="4" t="s">
        <v>926</v>
      </c>
      <c r="K217" s="4" t="s">
        <v>20</v>
      </c>
    </row>
    <row r="218" spans="1:11" x14ac:dyDescent="0.3">
      <c r="A218" s="3">
        <v>214</v>
      </c>
      <c r="B218" s="3" t="s">
        <v>1260</v>
      </c>
      <c r="C218" s="3" t="s">
        <v>439</v>
      </c>
      <c r="D218" s="3" t="s">
        <v>10</v>
      </c>
      <c r="E218" s="3" t="s">
        <v>330</v>
      </c>
      <c r="F218" s="3" t="s">
        <v>440</v>
      </c>
      <c r="G218" s="3" t="s">
        <v>1261</v>
      </c>
      <c r="H218" s="25" t="s">
        <v>1262</v>
      </c>
      <c r="I218" s="3" t="s">
        <v>13</v>
      </c>
      <c r="J218" s="3" t="s">
        <v>927</v>
      </c>
      <c r="K218" s="3" t="s">
        <v>58</v>
      </c>
    </row>
    <row r="219" spans="1:11" x14ac:dyDescent="0.3">
      <c r="A219" s="4">
        <v>215</v>
      </c>
      <c r="B219" s="4" t="s">
        <v>1263</v>
      </c>
      <c r="C219" s="4" t="s">
        <v>441</v>
      </c>
      <c r="D219" s="4" t="s">
        <v>10</v>
      </c>
      <c r="E219" s="4" t="s">
        <v>330</v>
      </c>
      <c r="F219" s="4" t="s">
        <v>397</v>
      </c>
      <c r="G219" s="4" t="s">
        <v>1014</v>
      </c>
      <c r="H219" s="26" t="s">
        <v>1167</v>
      </c>
      <c r="I219" s="4" t="s">
        <v>13</v>
      </c>
      <c r="J219" s="4" t="s">
        <v>926</v>
      </c>
      <c r="K219" s="4" t="s">
        <v>14</v>
      </c>
    </row>
    <row r="220" spans="1:11" x14ac:dyDescent="0.3">
      <c r="A220" s="4">
        <v>216</v>
      </c>
      <c r="B220" s="4" t="s">
        <v>1264</v>
      </c>
      <c r="C220" s="4" t="s">
        <v>442</v>
      </c>
      <c r="D220" s="4" t="s">
        <v>10</v>
      </c>
      <c r="E220" s="4" t="s">
        <v>330</v>
      </c>
      <c r="F220" s="4" t="s">
        <v>443</v>
      </c>
      <c r="G220" s="4" t="s">
        <v>1056</v>
      </c>
      <c r="H220" s="26" t="s">
        <v>1167</v>
      </c>
      <c r="I220" s="4" t="s">
        <v>13</v>
      </c>
      <c r="J220" s="4" t="s">
        <v>926</v>
      </c>
      <c r="K220" s="4" t="s">
        <v>58</v>
      </c>
    </row>
    <row r="221" spans="1:11" x14ac:dyDescent="0.3">
      <c r="A221" s="5">
        <v>217</v>
      </c>
      <c r="B221" s="5" t="s">
        <v>1107</v>
      </c>
      <c r="C221" s="5" t="s">
        <v>255</v>
      </c>
      <c r="D221" s="5" t="s">
        <v>10</v>
      </c>
      <c r="E221" s="5" t="s">
        <v>330</v>
      </c>
      <c r="F221" s="5" t="s">
        <v>335</v>
      </c>
      <c r="G221" s="5" t="s">
        <v>1049</v>
      </c>
      <c r="H221" s="27" t="s">
        <v>1169</v>
      </c>
      <c r="I221" s="5" t="s">
        <v>13</v>
      </c>
      <c r="J221" s="5" t="s">
        <v>925</v>
      </c>
      <c r="K221" s="5" t="s">
        <v>14</v>
      </c>
    </row>
    <row r="222" spans="1:11" x14ac:dyDescent="0.3">
      <c r="A222" s="4">
        <v>218</v>
      </c>
      <c r="B222" s="4" t="s">
        <v>1265</v>
      </c>
      <c r="C222" s="4" t="s">
        <v>444</v>
      </c>
      <c r="D222" s="4" t="s">
        <v>10</v>
      </c>
      <c r="E222" s="4" t="s">
        <v>330</v>
      </c>
      <c r="F222" s="4" t="s">
        <v>445</v>
      </c>
      <c r="G222" s="4" t="s">
        <v>1130</v>
      </c>
      <c r="H222" s="26" t="s">
        <v>1164</v>
      </c>
      <c r="I222" s="4" t="s">
        <v>13</v>
      </c>
      <c r="J222" s="4" t="s">
        <v>926</v>
      </c>
      <c r="K222" s="4" t="s">
        <v>14</v>
      </c>
    </row>
    <row r="223" spans="1:11" x14ac:dyDescent="0.3">
      <c r="A223" s="4">
        <v>219</v>
      </c>
      <c r="B223" s="4" t="s">
        <v>1266</v>
      </c>
      <c r="C223" s="4" t="s">
        <v>446</v>
      </c>
      <c r="D223" s="4" t="s">
        <v>10</v>
      </c>
      <c r="E223" s="4" t="s">
        <v>330</v>
      </c>
      <c r="F223" s="4" t="s">
        <v>447</v>
      </c>
      <c r="G223" s="4" t="s">
        <v>1136</v>
      </c>
      <c r="H223" s="26" t="s">
        <v>1183</v>
      </c>
      <c r="I223" s="4" t="s">
        <v>13</v>
      </c>
      <c r="J223" s="4" t="s">
        <v>926</v>
      </c>
      <c r="K223" s="4" t="s">
        <v>448</v>
      </c>
    </row>
    <row r="224" spans="1:11" x14ac:dyDescent="0.3">
      <c r="A224" s="5">
        <v>220</v>
      </c>
      <c r="B224" s="5" t="s">
        <v>1267</v>
      </c>
      <c r="C224" s="5" t="s">
        <v>449</v>
      </c>
      <c r="D224" s="5" t="s">
        <v>10</v>
      </c>
      <c r="E224" s="5" t="s">
        <v>330</v>
      </c>
      <c r="F224" s="5" t="s">
        <v>335</v>
      </c>
      <c r="G224" s="5" t="s">
        <v>1079</v>
      </c>
      <c r="H224" s="27" t="s">
        <v>1169</v>
      </c>
      <c r="I224" s="5" t="s">
        <v>13</v>
      </c>
      <c r="J224" s="5" t="s">
        <v>925</v>
      </c>
      <c r="K224" s="5" t="s">
        <v>14</v>
      </c>
    </row>
    <row r="225" spans="1:11" x14ac:dyDescent="0.3">
      <c r="A225" s="5">
        <v>221</v>
      </c>
      <c r="B225" s="5" t="s">
        <v>1268</v>
      </c>
      <c r="C225" s="5" t="s">
        <v>450</v>
      </c>
      <c r="D225" s="5" t="s">
        <v>10</v>
      </c>
      <c r="E225" s="5" t="s">
        <v>330</v>
      </c>
      <c r="F225" s="5" t="s">
        <v>451</v>
      </c>
      <c r="G225" s="5" t="s">
        <v>1269</v>
      </c>
      <c r="H225" s="27" t="s">
        <v>1185</v>
      </c>
      <c r="I225" s="5" t="s">
        <v>13</v>
      </c>
      <c r="J225" s="5" t="s">
        <v>925</v>
      </c>
      <c r="K225" s="5" t="s">
        <v>14</v>
      </c>
    </row>
    <row r="226" spans="1:11" x14ac:dyDescent="0.3">
      <c r="A226" s="4">
        <v>222</v>
      </c>
      <c r="B226" s="4" t="s">
        <v>1270</v>
      </c>
      <c r="C226" s="4" t="s">
        <v>452</v>
      </c>
      <c r="D226" s="4" t="s">
        <v>10</v>
      </c>
      <c r="E226" s="4" t="s">
        <v>330</v>
      </c>
      <c r="F226" s="4" t="s">
        <v>453</v>
      </c>
      <c r="G226" s="4" t="s">
        <v>1112</v>
      </c>
      <c r="H226" s="26" t="s">
        <v>1164</v>
      </c>
      <c r="I226" s="4" t="s">
        <v>13</v>
      </c>
      <c r="J226" s="4" t="s">
        <v>926</v>
      </c>
      <c r="K226" s="4" t="s">
        <v>14</v>
      </c>
    </row>
    <row r="227" spans="1:11" x14ac:dyDescent="0.3">
      <c r="A227" s="4">
        <v>223</v>
      </c>
      <c r="B227" s="4" t="s">
        <v>1271</v>
      </c>
      <c r="C227" s="4" t="s">
        <v>454</v>
      </c>
      <c r="D227" s="4" t="s">
        <v>10</v>
      </c>
      <c r="E227" s="4" t="s">
        <v>330</v>
      </c>
      <c r="F227" s="4" t="s">
        <v>455</v>
      </c>
      <c r="G227" s="4" t="s">
        <v>1056</v>
      </c>
      <c r="H227" s="26" t="s">
        <v>1169</v>
      </c>
      <c r="I227" s="4" t="s">
        <v>13</v>
      </c>
      <c r="J227" s="4" t="s">
        <v>926</v>
      </c>
      <c r="K227" s="4" t="s">
        <v>456</v>
      </c>
    </row>
    <row r="228" spans="1:11" x14ac:dyDescent="0.3">
      <c r="A228" s="4">
        <v>224</v>
      </c>
      <c r="B228" s="4" t="s">
        <v>1272</v>
      </c>
      <c r="C228" s="4" t="s">
        <v>457</v>
      </c>
      <c r="D228" s="4" t="s">
        <v>10</v>
      </c>
      <c r="E228" s="4" t="s">
        <v>330</v>
      </c>
      <c r="F228" s="4" t="s">
        <v>458</v>
      </c>
      <c r="G228" s="4" t="s">
        <v>1099</v>
      </c>
      <c r="H228" s="26" t="s">
        <v>1183</v>
      </c>
      <c r="I228" s="4" t="s">
        <v>13</v>
      </c>
      <c r="J228" s="4" t="s">
        <v>926</v>
      </c>
      <c r="K228" s="4" t="s">
        <v>165</v>
      </c>
    </row>
    <row r="229" spans="1:11" x14ac:dyDescent="0.3">
      <c r="A229" s="4">
        <v>225</v>
      </c>
      <c r="B229" s="4" t="s">
        <v>1272</v>
      </c>
      <c r="C229" s="4" t="s">
        <v>459</v>
      </c>
      <c r="D229" s="4" t="s">
        <v>10</v>
      </c>
      <c r="E229" s="4" t="s">
        <v>330</v>
      </c>
      <c r="F229" s="4" t="s">
        <v>335</v>
      </c>
      <c r="G229" s="4" t="s">
        <v>1079</v>
      </c>
      <c r="H229" s="26" t="s">
        <v>1169</v>
      </c>
      <c r="I229" s="4" t="s">
        <v>13</v>
      </c>
      <c r="J229" s="4" t="s">
        <v>926</v>
      </c>
      <c r="K229" s="4" t="s">
        <v>20</v>
      </c>
    </row>
    <row r="230" spans="1:11" x14ac:dyDescent="0.3">
      <c r="A230" s="5">
        <v>226</v>
      </c>
      <c r="B230" s="5" t="s">
        <v>1273</v>
      </c>
      <c r="C230" s="5" t="s">
        <v>460</v>
      </c>
      <c r="D230" s="5" t="s">
        <v>10</v>
      </c>
      <c r="E230" s="5" t="s">
        <v>330</v>
      </c>
      <c r="F230" s="5" t="s">
        <v>461</v>
      </c>
      <c r="G230" s="5" t="s">
        <v>965</v>
      </c>
      <c r="H230" s="27" t="s">
        <v>1190</v>
      </c>
      <c r="I230" s="5" t="s">
        <v>13</v>
      </c>
      <c r="J230" s="5" t="s">
        <v>925</v>
      </c>
      <c r="K230" s="5" t="s">
        <v>27</v>
      </c>
    </row>
    <row r="231" spans="1:11" x14ac:dyDescent="0.3">
      <c r="A231" s="4">
        <v>227</v>
      </c>
      <c r="B231" s="4" t="s">
        <v>1274</v>
      </c>
      <c r="C231" s="4" t="s">
        <v>462</v>
      </c>
      <c r="D231" s="4" t="s">
        <v>10</v>
      </c>
      <c r="E231" s="4" t="s">
        <v>330</v>
      </c>
      <c r="F231" s="4" t="s">
        <v>253</v>
      </c>
      <c r="G231" s="4" t="s">
        <v>984</v>
      </c>
      <c r="H231" s="26" t="s">
        <v>1254</v>
      </c>
      <c r="I231" s="4" t="s">
        <v>13</v>
      </c>
      <c r="J231" s="4" t="s">
        <v>926</v>
      </c>
      <c r="K231" s="4" t="s">
        <v>43</v>
      </c>
    </row>
    <row r="232" spans="1:11" x14ac:dyDescent="0.3">
      <c r="A232" s="4">
        <v>228</v>
      </c>
      <c r="B232" s="4" t="s">
        <v>1275</v>
      </c>
      <c r="C232" s="4" t="s">
        <v>463</v>
      </c>
      <c r="D232" s="4" t="s">
        <v>10</v>
      </c>
      <c r="E232" s="4" t="s">
        <v>330</v>
      </c>
      <c r="F232" s="4" t="s">
        <v>464</v>
      </c>
      <c r="G232" s="4" t="s">
        <v>1276</v>
      </c>
      <c r="H232" s="26" t="s">
        <v>1169</v>
      </c>
      <c r="I232" s="4" t="s">
        <v>13</v>
      </c>
      <c r="J232" s="4" t="s">
        <v>926</v>
      </c>
      <c r="K232" s="4" t="s">
        <v>20</v>
      </c>
    </row>
    <row r="233" spans="1:11" x14ac:dyDescent="0.3">
      <c r="A233" s="4">
        <v>229</v>
      </c>
      <c r="B233" s="4" t="s">
        <v>1277</v>
      </c>
      <c r="C233" s="4" t="s">
        <v>465</v>
      </c>
      <c r="D233" s="4" t="s">
        <v>10</v>
      </c>
      <c r="E233" s="4" t="s">
        <v>330</v>
      </c>
      <c r="F233" s="4" t="s">
        <v>466</v>
      </c>
      <c r="G233" s="4" t="s">
        <v>1278</v>
      </c>
      <c r="H233" s="26" t="s">
        <v>1164</v>
      </c>
      <c r="I233" s="4" t="s">
        <v>13</v>
      </c>
      <c r="J233" s="4" t="s">
        <v>926</v>
      </c>
      <c r="K233" s="4" t="s">
        <v>342</v>
      </c>
    </row>
    <row r="234" spans="1:11" x14ac:dyDescent="0.3">
      <c r="A234" s="5">
        <v>230</v>
      </c>
      <c r="B234" s="5" t="s">
        <v>1279</v>
      </c>
      <c r="C234" s="5" t="s">
        <v>467</v>
      </c>
      <c r="D234" s="5" t="s">
        <v>10</v>
      </c>
      <c r="E234" s="5" t="s">
        <v>330</v>
      </c>
      <c r="F234" s="5" t="s">
        <v>468</v>
      </c>
      <c r="G234" s="5" t="s">
        <v>993</v>
      </c>
      <c r="H234" s="27" t="s">
        <v>1190</v>
      </c>
      <c r="I234" s="5" t="s">
        <v>13</v>
      </c>
      <c r="J234" s="5" t="s">
        <v>925</v>
      </c>
      <c r="K234" s="5" t="s">
        <v>43</v>
      </c>
    </row>
    <row r="235" spans="1:11" x14ac:dyDescent="0.3">
      <c r="A235" s="6">
        <v>231</v>
      </c>
      <c r="B235" s="6" t="s">
        <v>1280</v>
      </c>
      <c r="C235" s="6" t="s">
        <v>469</v>
      </c>
      <c r="D235" s="6" t="s">
        <v>10</v>
      </c>
      <c r="E235" s="6" t="s">
        <v>330</v>
      </c>
      <c r="F235" s="6" t="s">
        <v>404</v>
      </c>
      <c r="G235" s="6" t="s">
        <v>1124</v>
      </c>
      <c r="H235" s="28" t="s">
        <v>1190</v>
      </c>
      <c r="I235" s="6" t="s">
        <v>13</v>
      </c>
      <c r="J235" s="6" t="s">
        <v>928</v>
      </c>
      <c r="K235" s="6" t="s">
        <v>43</v>
      </c>
    </row>
    <row r="236" spans="1:11" x14ac:dyDescent="0.3">
      <c r="A236" s="4">
        <v>232</v>
      </c>
      <c r="B236" s="4" t="s">
        <v>1281</v>
      </c>
      <c r="C236" s="4" t="s">
        <v>463</v>
      </c>
      <c r="D236" s="4" t="s">
        <v>10</v>
      </c>
      <c r="E236" s="4" t="s">
        <v>330</v>
      </c>
      <c r="F236" s="4" t="s">
        <v>470</v>
      </c>
      <c r="G236" s="4" t="s">
        <v>957</v>
      </c>
      <c r="H236" s="26" t="s">
        <v>1254</v>
      </c>
      <c r="I236" s="4" t="s">
        <v>13</v>
      </c>
      <c r="J236" s="4" t="s">
        <v>926</v>
      </c>
      <c r="K236" s="4" t="s">
        <v>195</v>
      </c>
    </row>
    <row r="237" spans="1:11" x14ac:dyDescent="0.3">
      <c r="A237" s="4">
        <v>233</v>
      </c>
      <c r="B237" s="4" t="s">
        <v>1282</v>
      </c>
      <c r="C237" s="4" t="s">
        <v>471</v>
      </c>
      <c r="D237" s="4" t="s">
        <v>10</v>
      </c>
      <c r="E237" s="4" t="s">
        <v>330</v>
      </c>
      <c r="F237" s="4" t="s">
        <v>413</v>
      </c>
      <c r="G237" s="4" t="s">
        <v>1283</v>
      </c>
      <c r="H237" s="26" t="s">
        <v>1190</v>
      </c>
      <c r="I237" s="4" t="s">
        <v>13</v>
      </c>
      <c r="J237" s="4" t="s">
        <v>926</v>
      </c>
      <c r="K237" s="4" t="s">
        <v>66</v>
      </c>
    </row>
    <row r="238" spans="1:11" x14ac:dyDescent="0.3">
      <c r="A238" s="4">
        <v>234</v>
      </c>
      <c r="B238" s="4" t="s">
        <v>1284</v>
      </c>
      <c r="C238" s="4" t="s">
        <v>257</v>
      </c>
      <c r="D238" s="4" t="s">
        <v>10</v>
      </c>
      <c r="E238" s="4" t="s">
        <v>330</v>
      </c>
      <c r="F238" s="4" t="s">
        <v>453</v>
      </c>
      <c r="G238" s="4" t="s">
        <v>1130</v>
      </c>
      <c r="H238" s="26" t="s">
        <v>1164</v>
      </c>
      <c r="I238" s="4" t="s">
        <v>13</v>
      </c>
      <c r="J238" s="4" t="s">
        <v>926</v>
      </c>
      <c r="K238" s="4" t="s">
        <v>165</v>
      </c>
    </row>
    <row r="239" spans="1:11" x14ac:dyDescent="0.3">
      <c r="A239" s="4">
        <v>235</v>
      </c>
      <c r="B239" s="4" t="s">
        <v>1285</v>
      </c>
      <c r="C239" s="4" t="s">
        <v>472</v>
      </c>
      <c r="D239" s="4" t="s">
        <v>10</v>
      </c>
      <c r="E239" s="4" t="s">
        <v>330</v>
      </c>
      <c r="F239" s="4" t="s">
        <v>473</v>
      </c>
      <c r="G239" s="4" t="s">
        <v>1286</v>
      </c>
      <c r="H239" s="26" t="s">
        <v>1287</v>
      </c>
      <c r="I239" s="4" t="s">
        <v>13</v>
      </c>
      <c r="J239" s="4" t="s">
        <v>926</v>
      </c>
      <c r="K239" s="4" t="s">
        <v>224</v>
      </c>
    </row>
    <row r="240" spans="1:11" x14ac:dyDescent="0.3">
      <c r="A240" s="4">
        <v>236</v>
      </c>
      <c r="B240" s="4" t="s">
        <v>1288</v>
      </c>
      <c r="C240" s="4" t="s">
        <v>474</v>
      </c>
      <c r="D240" s="4" t="s">
        <v>10</v>
      </c>
      <c r="E240" s="4" t="s">
        <v>330</v>
      </c>
      <c r="F240" s="4" t="s">
        <v>475</v>
      </c>
      <c r="G240" s="4" t="s">
        <v>1018</v>
      </c>
      <c r="H240" s="26" t="s">
        <v>1289</v>
      </c>
      <c r="I240" s="4" t="s">
        <v>13</v>
      </c>
      <c r="J240" s="4" t="s">
        <v>926</v>
      </c>
      <c r="K240" s="4" t="s">
        <v>43</v>
      </c>
    </row>
    <row r="241" spans="1:11" x14ac:dyDescent="0.3">
      <c r="A241" s="4">
        <v>237</v>
      </c>
      <c r="B241" s="4" t="s">
        <v>1290</v>
      </c>
      <c r="C241" s="4" t="s">
        <v>476</v>
      </c>
      <c r="D241" s="4" t="s">
        <v>10</v>
      </c>
      <c r="E241" s="4" t="s">
        <v>330</v>
      </c>
      <c r="F241" s="4" t="s">
        <v>337</v>
      </c>
      <c r="G241" s="4" t="s">
        <v>1291</v>
      </c>
      <c r="H241" s="26" t="s">
        <v>1169</v>
      </c>
      <c r="I241" s="4" t="s">
        <v>13</v>
      </c>
      <c r="J241" s="4" t="s">
        <v>926</v>
      </c>
      <c r="K241" s="4" t="s">
        <v>254</v>
      </c>
    </row>
    <row r="242" spans="1:11" x14ac:dyDescent="0.3">
      <c r="A242" s="4">
        <v>238</v>
      </c>
      <c r="B242" s="4" t="s">
        <v>1292</v>
      </c>
      <c r="C242" s="4" t="s">
        <v>477</v>
      </c>
      <c r="D242" s="4" t="s">
        <v>10</v>
      </c>
      <c r="E242" s="4" t="s">
        <v>330</v>
      </c>
      <c r="F242" s="4" t="s">
        <v>453</v>
      </c>
      <c r="G242" s="4" t="s">
        <v>1033</v>
      </c>
      <c r="H242" s="26" t="s">
        <v>1164</v>
      </c>
      <c r="I242" s="4" t="s">
        <v>13</v>
      </c>
      <c r="J242" s="4" t="s">
        <v>926</v>
      </c>
      <c r="K242" s="4" t="s">
        <v>165</v>
      </c>
    </row>
    <row r="243" spans="1:11" x14ac:dyDescent="0.3">
      <c r="A243" s="4">
        <v>239</v>
      </c>
      <c r="B243" s="4" t="s">
        <v>1293</v>
      </c>
      <c r="C243" s="4" t="s">
        <v>478</v>
      </c>
      <c r="D243" s="4" t="s">
        <v>10</v>
      </c>
      <c r="E243" s="4" t="s">
        <v>330</v>
      </c>
      <c r="F243" s="4" t="s">
        <v>479</v>
      </c>
      <c r="G243" s="4" t="s">
        <v>980</v>
      </c>
      <c r="H243" s="26" t="s">
        <v>1192</v>
      </c>
      <c r="I243" s="4" t="s">
        <v>13</v>
      </c>
      <c r="J243" s="4" t="s">
        <v>926</v>
      </c>
      <c r="K243" s="4" t="s">
        <v>58</v>
      </c>
    </row>
    <row r="244" spans="1:11" x14ac:dyDescent="0.3">
      <c r="A244" s="4">
        <v>240</v>
      </c>
      <c r="B244" s="4" t="s">
        <v>1294</v>
      </c>
      <c r="C244" s="4" t="s">
        <v>480</v>
      </c>
      <c r="D244" s="4" t="s">
        <v>10</v>
      </c>
      <c r="E244" s="4" t="s">
        <v>330</v>
      </c>
      <c r="F244" s="4" t="s">
        <v>335</v>
      </c>
      <c r="G244" s="4" t="s">
        <v>1079</v>
      </c>
      <c r="H244" s="26" t="s">
        <v>1169</v>
      </c>
      <c r="I244" s="4" t="s">
        <v>13</v>
      </c>
      <c r="J244" s="4" t="s">
        <v>926</v>
      </c>
      <c r="K244" s="4" t="s">
        <v>14</v>
      </c>
    </row>
    <row r="245" spans="1:11" x14ac:dyDescent="0.3">
      <c r="A245" s="5">
        <v>241</v>
      </c>
      <c r="B245" s="5" t="s">
        <v>1295</v>
      </c>
      <c r="C245" s="5" t="s">
        <v>481</v>
      </c>
      <c r="D245" s="5" t="s">
        <v>10</v>
      </c>
      <c r="E245" s="5" t="s">
        <v>330</v>
      </c>
      <c r="F245" s="5" t="s">
        <v>482</v>
      </c>
      <c r="G245" s="5" t="s">
        <v>1296</v>
      </c>
      <c r="H245" s="27" t="s">
        <v>1183</v>
      </c>
      <c r="I245" s="5" t="s">
        <v>13</v>
      </c>
      <c r="J245" s="5" t="s">
        <v>925</v>
      </c>
      <c r="K245" s="5" t="s">
        <v>254</v>
      </c>
    </row>
    <row r="246" spans="1:11" x14ac:dyDescent="0.3">
      <c r="A246" s="4">
        <v>242</v>
      </c>
      <c r="B246" s="4" t="s">
        <v>1297</v>
      </c>
      <c r="C246" s="4" t="s">
        <v>483</v>
      </c>
      <c r="D246" s="4" t="s">
        <v>10</v>
      </c>
      <c r="E246" s="4" t="s">
        <v>330</v>
      </c>
      <c r="F246" s="4" t="s">
        <v>484</v>
      </c>
      <c r="G246" s="4" t="s">
        <v>1298</v>
      </c>
      <c r="H246" s="26" t="s">
        <v>1164</v>
      </c>
      <c r="I246" s="4" t="s">
        <v>13</v>
      </c>
      <c r="J246" s="4" t="s">
        <v>926</v>
      </c>
      <c r="K246" s="4" t="s">
        <v>165</v>
      </c>
    </row>
    <row r="247" spans="1:11" x14ac:dyDescent="0.3">
      <c r="A247" s="5">
        <v>243</v>
      </c>
      <c r="B247" s="5" t="s">
        <v>1299</v>
      </c>
      <c r="C247" s="5" t="s">
        <v>485</v>
      </c>
      <c r="D247" s="5" t="s">
        <v>10</v>
      </c>
      <c r="E247" s="5" t="s">
        <v>330</v>
      </c>
      <c r="F247" s="5" t="s">
        <v>370</v>
      </c>
      <c r="G247" s="5" t="s">
        <v>1300</v>
      </c>
      <c r="H247" s="27" t="s">
        <v>1164</v>
      </c>
      <c r="I247" s="5" t="s">
        <v>13</v>
      </c>
      <c r="J247" s="5" t="s">
        <v>925</v>
      </c>
      <c r="K247" s="5" t="s">
        <v>165</v>
      </c>
    </row>
    <row r="248" spans="1:11" x14ac:dyDescent="0.3">
      <c r="A248" s="5">
        <v>244</v>
      </c>
      <c r="B248" s="5" t="s">
        <v>1299</v>
      </c>
      <c r="C248" s="5" t="s">
        <v>486</v>
      </c>
      <c r="D248" s="5" t="s">
        <v>10</v>
      </c>
      <c r="E248" s="5" t="s">
        <v>330</v>
      </c>
      <c r="F248" s="5" t="s">
        <v>487</v>
      </c>
      <c r="G248" s="5" t="s">
        <v>965</v>
      </c>
      <c r="H248" s="27" t="s">
        <v>1183</v>
      </c>
      <c r="I248" s="5" t="s">
        <v>13</v>
      </c>
      <c r="J248" s="5" t="s">
        <v>925</v>
      </c>
      <c r="K248" s="5" t="s">
        <v>488</v>
      </c>
    </row>
    <row r="249" spans="1:11" x14ac:dyDescent="0.3">
      <c r="A249" s="5">
        <v>245</v>
      </c>
      <c r="B249" s="5" t="s">
        <v>1299</v>
      </c>
      <c r="C249" s="5" t="s">
        <v>485</v>
      </c>
      <c r="D249" s="5" t="s">
        <v>10</v>
      </c>
      <c r="E249" s="5" t="s">
        <v>330</v>
      </c>
      <c r="F249" s="5" t="s">
        <v>380</v>
      </c>
      <c r="G249" s="5" t="s">
        <v>1146</v>
      </c>
      <c r="H249" s="27" t="s">
        <v>1183</v>
      </c>
      <c r="I249" s="5" t="s">
        <v>13</v>
      </c>
      <c r="J249" s="5" t="s">
        <v>925</v>
      </c>
      <c r="K249" s="5" t="s">
        <v>456</v>
      </c>
    </row>
    <row r="250" spans="1:11" x14ac:dyDescent="0.3">
      <c r="A250" s="4">
        <v>246</v>
      </c>
      <c r="B250" s="4" t="s">
        <v>1301</v>
      </c>
      <c r="C250" s="4" t="s">
        <v>489</v>
      </c>
      <c r="D250" s="4" t="s">
        <v>10</v>
      </c>
      <c r="E250" s="4" t="s">
        <v>330</v>
      </c>
      <c r="F250" s="4" t="s">
        <v>464</v>
      </c>
      <c r="G250" s="4" t="s">
        <v>950</v>
      </c>
      <c r="H250" s="26" t="s">
        <v>1169</v>
      </c>
      <c r="I250" s="4" t="s">
        <v>13</v>
      </c>
      <c r="J250" s="4" t="s">
        <v>926</v>
      </c>
      <c r="K250" s="4" t="s">
        <v>342</v>
      </c>
    </row>
    <row r="251" spans="1:11" x14ac:dyDescent="0.3">
      <c r="A251" s="4">
        <v>247</v>
      </c>
      <c r="B251" s="4" t="s">
        <v>1302</v>
      </c>
      <c r="C251" s="4" t="s">
        <v>490</v>
      </c>
      <c r="D251" s="4" t="s">
        <v>10</v>
      </c>
      <c r="E251" s="4" t="s">
        <v>330</v>
      </c>
      <c r="F251" s="4" t="s">
        <v>491</v>
      </c>
      <c r="G251" s="4" t="s">
        <v>965</v>
      </c>
      <c r="H251" s="26" t="s">
        <v>1254</v>
      </c>
      <c r="I251" s="4" t="s">
        <v>13</v>
      </c>
      <c r="J251" s="4" t="s">
        <v>926</v>
      </c>
      <c r="K251" s="4" t="s">
        <v>58</v>
      </c>
    </row>
    <row r="252" spans="1:11" x14ac:dyDescent="0.3">
      <c r="A252" s="4">
        <v>248</v>
      </c>
      <c r="B252" s="4" t="s">
        <v>1303</v>
      </c>
      <c r="C252" s="4" t="s">
        <v>492</v>
      </c>
      <c r="D252" s="4" t="s">
        <v>10</v>
      </c>
      <c r="E252" s="4" t="s">
        <v>330</v>
      </c>
      <c r="F252" s="4" t="s">
        <v>493</v>
      </c>
      <c r="G252" s="4" t="s">
        <v>950</v>
      </c>
      <c r="H252" s="26" t="s">
        <v>1164</v>
      </c>
      <c r="I252" s="4" t="s">
        <v>13</v>
      </c>
      <c r="J252" s="4" t="s">
        <v>926</v>
      </c>
      <c r="K252" s="4" t="s">
        <v>165</v>
      </c>
    </row>
    <row r="253" spans="1:11" x14ac:dyDescent="0.3">
      <c r="A253" s="4">
        <v>249</v>
      </c>
      <c r="B253" s="4" t="s">
        <v>1304</v>
      </c>
      <c r="C253" s="4" t="s">
        <v>494</v>
      </c>
      <c r="D253" s="4" t="s">
        <v>10</v>
      </c>
      <c r="E253" s="4" t="s">
        <v>330</v>
      </c>
      <c r="F253" s="4" t="s">
        <v>495</v>
      </c>
      <c r="G253" s="4" t="s">
        <v>993</v>
      </c>
      <c r="H253" s="26" t="s">
        <v>1164</v>
      </c>
      <c r="I253" s="4" t="s">
        <v>13</v>
      </c>
      <c r="J253" s="4" t="s">
        <v>926</v>
      </c>
      <c r="K253" s="4" t="s">
        <v>20</v>
      </c>
    </row>
    <row r="254" spans="1:11" x14ac:dyDescent="0.3">
      <c r="A254" s="4">
        <v>250</v>
      </c>
      <c r="B254" s="4" t="s">
        <v>1305</v>
      </c>
      <c r="C254" s="4" t="s">
        <v>496</v>
      </c>
      <c r="D254" s="4" t="s">
        <v>10</v>
      </c>
      <c r="E254" s="4" t="s">
        <v>330</v>
      </c>
      <c r="F254" s="4" t="s">
        <v>335</v>
      </c>
      <c r="G254" s="4" t="s">
        <v>1306</v>
      </c>
      <c r="H254" s="26" t="s">
        <v>1169</v>
      </c>
      <c r="I254" s="4" t="s">
        <v>13</v>
      </c>
      <c r="J254" s="4" t="s">
        <v>926</v>
      </c>
      <c r="K254" s="4" t="s">
        <v>43</v>
      </c>
    </row>
    <row r="255" spans="1:11" x14ac:dyDescent="0.3">
      <c r="A255" s="4">
        <v>251</v>
      </c>
      <c r="B255" s="4" t="s">
        <v>1307</v>
      </c>
      <c r="C255" s="4" t="s">
        <v>497</v>
      </c>
      <c r="D255" s="4" t="s">
        <v>10</v>
      </c>
      <c r="E255" s="4" t="s">
        <v>330</v>
      </c>
      <c r="F255" s="4" t="s">
        <v>498</v>
      </c>
      <c r="G255" s="4" t="s">
        <v>950</v>
      </c>
      <c r="H255" s="26" t="s">
        <v>1164</v>
      </c>
      <c r="I255" s="4" t="s">
        <v>13</v>
      </c>
      <c r="J255" s="4" t="s">
        <v>926</v>
      </c>
      <c r="K255" s="4" t="s">
        <v>488</v>
      </c>
    </row>
    <row r="256" spans="1:11" x14ac:dyDescent="0.3">
      <c r="A256" s="4">
        <v>252</v>
      </c>
      <c r="B256" s="4" t="s">
        <v>1308</v>
      </c>
      <c r="C256" s="4" t="s">
        <v>499</v>
      </c>
      <c r="D256" s="4" t="s">
        <v>10</v>
      </c>
      <c r="E256" s="4" t="s">
        <v>330</v>
      </c>
      <c r="F256" s="4" t="s">
        <v>388</v>
      </c>
      <c r="G256" s="4" t="s">
        <v>1158</v>
      </c>
      <c r="H256" s="26" t="s">
        <v>1185</v>
      </c>
      <c r="I256" s="4" t="s">
        <v>13</v>
      </c>
      <c r="J256" s="4" t="s">
        <v>926</v>
      </c>
      <c r="K256" s="4" t="s">
        <v>224</v>
      </c>
    </row>
    <row r="257" spans="1:11" x14ac:dyDescent="0.3">
      <c r="A257" s="4">
        <v>253</v>
      </c>
      <c r="B257" s="4" t="s">
        <v>1309</v>
      </c>
      <c r="C257" s="4" t="s">
        <v>355</v>
      </c>
      <c r="D257" s="4" t="s">
        <v>10</v>
      </c>
      <c r="E257" s="4" t="s">
        <v>330</v>
      </c>
      <c r="F257" s="4" t="s">
        <v>500</v>
      </c>
      <c r="G257" s="4" t="s">
        <v>1310</v>
      </c>
      <c r="H257" s="26" t="s">
        <v>1198</v>
      </c>
      <c r="I257" s="4" t="s">
        <v>13</v>
      </c>
      <c r="J257" s="4" t="s">
        <v>926</v>
      </c>
      <c r="K257" s="4" t="s">
        <v>20</v>
      </c>
    </row>
    <row r="258" spans="1:11" x14ac:dyDescent="0.3">
      <c r="A258" s="4">
        <v>254</v>
      </c>
      <c r="B258" s="4" t="s">
        <v>1311</v>
      </c>
      <c r="C258" s="4" t="s">
        <v>501</v>
      </c>
      <c r="D258" s="4" t="s">
        <v>10</v>
      </c>
      <c r="E258" s="4" t="s">
        <v>330</v>
      </c>
      <c r="F258" s="4" t="s">
        <v>394</v>
      </c>
      <c r="G258" s="4" t="s">
        <v>1014</v>
      </c>
      <c r="H258" s="26" t="s">
        <v>1190</v>
      </c>
      <c r="I258" s="4" t="s">
        <v>13</v>
      </c>
      <c r="J258" s="4" t="s">
        <v>926</v>
      </c>
      <c r="K258" s="4" t="s">
        <v>58</v>
      </c>
    </row>
    <row r="259" spans="1:11" x14ac:dyDescent="0.3">
      <c r="A259" s="5">
        <v>255</v>
      </c>
      <c r="B259" s="5" t="s">
        <v>1312</v>
      </c>
      <c r="C259" s="5" t="s">
        <v>502</v>
      </c>
      <c r="D259" s="5" t="s">
        <v>10</v>
      </c>
      <c r="E259" s="5" t="s">
        <v>330</v>
      </c>
      <c r="F259" s="5" t="s">
        <v>503</v>
      </c>
      <c r="G259" s="5" t="s">
        <v>1034</v>
      </c>
      <c r="H259" s="27" t="s">
        <v>1254</v>
      </c>
      <c r="I259" s="5" t="s">
        <v>13</v>
      </c>
      <c r="J259" s="5" t="s">
        <v>925</v>
      </c>
      <c r="K259" s="5" t="s">
        <v>165</v>
      </c>
    </row>
    <row r="260" spans="1:11" x14ac:dyDescent="0.3">
      <c r="A260" s="4">
        <v>256</v>
      </c>
      <c r="B260" s="4" t="s">
        <v>1313</v>
      </c>
      <c r="C260" s="4" t="s">
        <v>504</v>
      </c>
      <c r="D260" s="4" t="s">
        <v>10</v>
      </c>
      <c r="E260" s="4" t="s">
        <v>330</v>
      </c>
      <c r="F260" s="4" t="s">
        <v>505</v>
      </c>
      <c r="G260" s="4" t="s">
        <v>1040</v>
      </c>
      <c r="H260" s="26" t="s">
        <v>1169</v>
      </c>
      <c r="I260" s="4" t="s">
        <v>13</v>
      </c>
      <c r="J260" s="4" t="s">
        <v>926</v>
      </c>
      <c r="K260" s="4" t="s">
        <v>165</v>
      </c>
    </row>
    <row r="261" spans="1:11" x14ac:dyDescent="0.3">
      <c r="A261" s="5">
        <v>257</v>
      </c>
      <c r="B261" s="5" t="s">
        <v>1314</v>
      </c>
      <c r="C261" s="5" t="s">
        <v>506</v>
      </c>
      <c r="D261" s="5" t="s">
        <v>10</v>
      </c>
      <c r="E261" s="5" t="s">
        <v>330</v>
      </c>
      <c r="F261" s="5" t="s">
        <v>466</v>
      </c>
      <c r="G261" s="5" t="s">
        <v>1049</v>
      </c>
      <c r="H261" s="27" t="s">
        <v>1164</v>
      </c>
      <c r="I261" s="5" t="s">
        <v>13</v>
      </c>
      <c r="J261" s="5" t="s">
        <v>925</v>
      </c>
      <c r="K261" s="5" t="s">
        <v>224</v>
      </c>
    </row>
    <row r="262" spans="1:11" x14ac:dyDescent="0.3">
      <c r="A262" s="3">
        <v>258</v>
      </c>
      <c r="B262" s="3" t="s">
        <v>1315</v>
      </c>
      <c r="C262" s="3" t="s">
        <v>507</v>
      </c>
      <c r="D262" s="3" t="s">
        <v>10</v>
      </c>
      <c r="E262" s="3" t="s">
        <v>330</v>
      </c>
      <c r="F262" s="3" t="s">
        <v>508</v>
      </c>
      <c r="G262" s="3" t="s">
        <v>1205</v>
      </c>
      <c r="H262" s="25" t="s">
        <v>1164</v>
      </c>
      <c r="I262" s="3" t="s">
        <v>13</v>
      </c>
      <c r="J262" s="3" t="s">
        <v>927</v>
      </c>
      <c r="K262" s="3" t="s">
        <v>195</v>
      </c>
    </row>
    <row r="263" spans="1:11" x14ac:dyDescent="0.3">
      <c r="A263" s="4">
        <v>259</v>
      </c>
      <c r="B263" s="4" t="s">
        <v>1316</v>
      </c>
      <c r="C263" s="4" t="s">
        <v>509</v>
      </c>
      <c r="D263" s="4" t="s">
        <v>10</v>
      </c>
      <c r="E263" s="4" t="s">
        <v>330</v>
      </c>
      <c r="F263" s="4" t="s">
        <v>337</v>
      </c>
      <c r="G263" s="4" t="s">
        <v>1317</v>
      </c>
      <c r="H263" s="26" t="s">
        <v>1169</v>
      </c>
      <c r="I263" s="4" t="s">
        <v>13</v>
      </c>
      <c r="J263" s="4" t="s">
        <v>926</v>
      </c>
      <c r="K263" s="4" t="s">
        <v>456</v>
      </c>
    </row>
    <row r="264" spans="1:11" x14ac:dyDescent="0.3">
      <c r="A264" s="4">
        <v>260</v>
      </c>
      <c r="B264" s="4" t="s">
        <v>1318</v>
      </c>
      <c r="C264" s="4" t="s">
        <v>510</v>
      </c>
      <c r="D264" s="4" t="s">
        <v>10</v>
      </c>
      <c r="E264" s="4" t="s">
        <v>330</v>
      </c>
      <c r="F264" s="4" t="s">
        <v>511</v>
      </c>
      <c r="G264" s="4" t="s">
        <v>1319</v>
      </c>
      <c r="H264" s="26" t="s">
        <v>1196</v>
      </c>
      <c r="I264" s="4" t="s">
        <v>13</v>
      </c>
      <c r="J264" s="4" t="s">
        <v>926</v>
      </c>
      <c r="K264" s="4" t="s">
        <v>512</v>
      </c>
    </row>
    <row r="265" spans="1:11" x14ac:dyDescent="0.3">
      <c r="A265" s="4">
        <v>261</v>
      </c>
      <c r="B265" s="4" t="s">
        <v>1320</v>
      </c>
      <c r="C265" s="4" t="s">
        <v>513</v>
      </c>
      <c r="D265" s="4" t="s">
        <v>10</v>
      </c>
      <c r="E265" s="4" t="s">
        <v>330</v>
      </c>
      <c r="F265" s="4" t="s">
        <v>514</v>
      </c>
      <c r="G265" s="4" t="s">
        <v>1321</v>
      </c>
      <c r="H265" s="26" t="s">
        <v>1164</v>
      </c>
      <c r="I265" s="4" t="s">
        <v>13</v>
      </c>
      <c r="J265" s="4" t="s">
        <v>926</v>
      </c>
      <c r="K265" s="4" t="s">
        <v>14</v>
      </c>
    </row>
    <row r="266" spans="1:11" x14ac:dyDescent="0.3">
      <c r="A266" s="4">
        <v>262</v>
      </c>
      <c r="B266" s="4" t="s">
        <v>1322</v>
      </c>
      <c r="C266" s="4" t="s">
        <v>515</v>
      </c>
      <c r="D266" s="4" t="s">
        <v>10</v>
      </c>
      <c r="E266" s="4" t="s">
        <v>330</v>
      </c>
      <c r="F266" s="4" t="s">
        <v>434</v>
      </c>
      <c r="G266" s="4" t="s">
        <v>1323</v>
      </c>
      <c r="H266" s="26" t="s">
        <v>1254</v>
      </c>
      <c r="I266" s="4" t="s">
        <v>13</v>
      </c>
      <c r="J266" s="4" t="s">
        <v>926</v>
      </c>
      <c r="K266" s="4" t="s">
        <v>20</v>
      </c>
    </row>
    <row r="267" spans="1:11" x14ac:dyDescent="0.3">
      <c r="A267" s="5">
        <v>263</v>
      </c>
      <c r="B267" s="5" t="s">
        <v>1324</v>
      </c>
      <c r="C267" s="5" t="s">
        <v>516</v>
      </c>
      <c r="D267" s="5" t="s">
        <v>10</v>
      </c>
      <c r="E267" s="5" t="s">
        <v>330</v>
      </c>
      <c r="F267" s="5" t="s">
        <v>517</v>
      </c>
      <c r="G267" s="5" t="s">
        <v>1003</v>
      </c>
      <c r="H267" s="27" t="s">
        <v>1169</v>
      </c>
      <c r="I267" s="5" t="s">
        <v>13</v>
      </c>
      <c r="J267" s="5" t="s">
        <v>925</v>
      </c>
      <c r="K267" s="5" t="s">
        <v>224</v>
      </c>
    </row>
    <row r="268" spans="1:11" x14ac:dyDescent="0.3">
      <c r="A268" s="5">
        <v>264</v>
      </c>
      <c r="B268" s="5" t="s">
        <v>1325</v>
      </c>
      <c r="C268" s="5" t="s">
        <v>518</v>
      </c>
      <c r="D268" s="5" t="s">
        <v>10</v>
      </c>
      <c r="E268" s="5" t="s">
        <v>330</v>
      </c>
      <c r="F268" s="5" t="s">
        <v>519</v>
      </c>
      <c r="G268" s="5" t="s">
        <v>1166</v>
      </c>
      <c r="H268" s="27" t="s">
        <v>1289</v>
      </c>
      <c r="I268" s="5" t="s">
        <v>13</v>
      </c>
      <c r="J268" s="5" t="s">
        <v>925</v>
      </c>
      <c r="K268" s="5" t="s">
        <v>17</v>
      </c>
    </row>
    <row r="269" spans="1:11" x14ac:dyDescent="0.3">
      <c r="A269" s="4">
        <v>265</v>
      </c>
      <c r="B269" s="4" t="s">
        <v>1326</v>
      </c>
      <c r="C269" s="4" t="s">
        <v>520</v>
      </c>
      <c r="D269" s="4" t="s">
        <v>10</v>
      </c>
      <c r="E269" s="4" t="s">
        <v>330</v>
      </c>
      <c r="F269" s="4" t="s">
        <v>517</v>
      </c>
      <c r="G269" s="4" t="s">
        <v>944</v>
      </c>
      <c r="H269" s="26" t="s">
        <v>1169</v>
      </c>
      <c r="I269" s="4" t="s">
        <v>13</v>
      </c>
      <c r="J269" s="4" t="s">
        <v>926</v>
      </c>
      <c r="K269" s="4" t="s">
        <v>43</v>
      </c>
    </row>
    <row r="270" spans="1:11" x14ac:dyDescent="0.3">
      <c r="A270" s="4">
        <v>266</v>
      </c>
      <c r="B270" s="4" t="s">
        <v>1327</v>
      </c>
      <c r="C270" s="4" t="s">
        <v>521</v>
      </c>
      <c r="D270" s="4" t="s">
        <v>10</v>
      </c>
      <c r="E270" s="4" t="s">
        <v>330</v>
      </c>
      <c r="F270" s="4" t="s">
        <v>370</v>
      </c>
      <c r="G270" s="4" t="s">
        <v>1319</v>
      </c>
      <c r="H270" s="26" t="s">
        <v>1164</v>
      </c>
      <c r="I270" s="4" t="s">
        <v>13</v>
      </c>
      <c r="J270" s="4" t="s">
        <v>926</v>
      </c>
      <c r="K270" s="4" t="s">
        <v>254</v>
      </c>
    </row>
    <row r="271" spans="1:11" x14ac:dyDescent="0.3">
      <c r="A271" s="5">
        <v>267</v>
      </c>
      <c r="B271" s="5" t="s">
        <v>1328</v>
      </c>
      <c r="C271" s="5" t="s">
        <v>522</v>
      </c>
      <c r="D271" s="5" t="s">
        <v>10</v>
      </c>
      <c r="E271" s="5" t="s">
        <v>330</v>
      </c>
      <c r="F271" s="5" t="s">
        <v>523</v>
      </c>
      <c r="G271" s="5" t="s">
        <v>1045</v>
      </c>
      <c r="H271" s="27" t="s">
        <v>1254</v>
      </c>
      <c r="I271" s="5" t="s">
        <v>13</v>
      </c>
      <c r="J271" s="5" t="s">
        <v>925</v>
      </c>
      <c r="K271" s="5" t="s">
        <v>14</v>
      </c>
    </row>
    <row r="272" spans="1:11" x14ac:dyDescent="0.3">
      <c r="A272" s="5">
        <v>268</v>
      </c>
      <c r="B272" s="5" t="s">
        <v>1329</v>
      </c>
      <c r="C272" s="5" t="s">
        <v>524</v>
      </c>
      <c r="D272" s="5" t="s">
        <v>10</v>
      </c>
      <c r="E272" s="5" t="s">
        <v>330</v>
      </c>
      <c r="F272" s="5" t="s">
        <v>48</v>
      </c>
      <c r="G272" s="5" t="s">
        <v>1330</v>
      </c>
      <c r="H272" s="27" t="s">
        <v>1167</v>
      </c>
      <c r="I272" s="5" t="s">
        <v>13</v>
      </c>
      <c r="J272" s="5" t="s">
        <v>925</v>
      </c>
      <c r="K272" s="5" t="s">
        <v>14</v>
      </c>
    </row>
    <row r="273" spans="1:11" x14ac:dyDescent="0.3">
      <c r="A273" s="5">
        <v>269</v>
      </c>
      <c r="B273" s="5" t="s">
        <v>1331</v>
      </c>
      <c r="C273" s="5" t="s">
        <v>525</v>
      </c>
      <c r="D273" s="5" t="s">
        <v>10</v>
      </c>
      <c r="E273" s="5" t="s">
        <v>330</v>
      </c>
      <c r="F273" s="5" t="s">
        <v>526</v>
      </c>
      <c r="G273" s="5" t="s">
        <v>1332</v>
      </c>
      <c r="H273" s="27" t="s">
        <v>1167</v>
      </c>
      <c r="I273" s="5" t="s">
        <v>13</v>
      </c>
      <c r="J273" s="5" t="s">
        <v>923</v>
      </c>
      <c r="K273" s="5" t="s">
        <v>14</v>
      </c>
    </row>
    <row r="274" spans="1:11" x14ac:dyDescent="0.3">
      <c r="A274" s="4">
        <v>270</v>
      </c>
      <c r="B274" s="4" t="s">
        <v>1333</v>
      </c>
      <c r="C274" s="4" t="s">
        <v>527</v>
      </c>
      <c r="D274" s="4" t="s">
        <v>10</v>
      </c>
      <c r="E274" s="4" t="s">
        <v>330</v>
      </c>
      <c r="F274" s="4" t="s">
        <v>528</v>
      </c>
      <c r="G274" s="4" t="s">
        <v>1334</v>
      </c>
      <c r="H274" s="26" t="s">
        <v>1287</v>
      </c>
      <c r="I274" s="4" t="s">
        <v>13</v>
      </c>
      <c r="J274" s="4" t="s">
        <v>926</v>
      </c>
      <c r="K274" s="4" t="s">
        <v>14</v>
      </c>
    </row>
    <row r="275" spans="1:11" x14ac:dyDescent="0.3">
      <c r="A275" s="3">
        <v>271</v>
      </c>
      <c r="B275" s="3" t="s">
        <v>1335</v>
      </c>
      <c r="C275" s="3" t="s">
        <v>529</v>
      </c>
      <c r="D275" s="3" t="s">
        <v>10</v>
      </c>
      <c r="E275" s="3" t="s">
        <v>330</v>
      </c>
      <c r="F275" s="3" t="s">
        <v>530</v>
      </c>
      <c r="G275" s="3" t="s">
        <v>1029</v>
      </c>
      <c r="H275" s="25" t="s">
        <v>1183</v>
      </c>
      <c r="I275" s="3" t="s">
        <v>13</v>
      </c>
      <c r="J275" s="3" t="s">
        <v>927</v>
      </c>
      <c r="K275" s="3" t="s">
        <v>27</v>
      </c>
    </row>
    <row r="276" spans="1:11" x14ac:dyDescent="0.3">
      <c r="A276" s="4">
        <v>272</v>
      </c>
      <c r="B276" s="4" t="s">
        <v>1336</v>
      </c>
      <c r="C276" s="4" t="s">
        <v>168</v>
      </c>
      <c r="D276" s="4" t="s">
        <v>10</v>
      </c>
      <c r="E276" s="4" t="s">
        <v>330</v>
      </c>
      <c r="F276" s="4" t="s">
        <v>531</v>
      </c>
      <c r="G276" s="4" t="s">
        <v>1175</v>
      </c>
      <c r="H276" s="26" t="s">
        <v>1191</v>
      </c>
      <c r="I276" s="4" t="s">
        <v>13</v>
      </c>
      <c r="J276" s="4" t="s">
        <v>926</v>
      </c>
      <c r="K276" s="4" t="s">
        <v>456</v>
      </c>
    </row>
    <row r="277" spans="1:11" x14ac:dyDescent="0.3">
      <c r="A277" s="4">
        <v>273</v>
      </c>
      <c r="B277" s="4" t="s">
        <v>1337</v>
      </c>
      <c r="C277" s="4" t="s">
        <v>532</v>
      </c>
      <c r="D277" s="4" t="s">
        <v>10</v>
      </c>
      <c r="E277" s="4" t="s">
        <v>330</v>
      </c>
      <c r="F277" s="4" t="s">
        <v>48</v>
      </c>
      <c r="G277" s="4" t="s">
        <v>1045</v>
      </c>
      <c r="H277" s="26" t="s">
        <v>1167</v>
      </c>
      <c r="I277" s="4" t="s">
        <v>13</v>
      </c>
      <c r="J277" s="4" t="s">
        <v>926</v>
      </c>
      <c r="K277" s="4" t="s">
        <v>20</v>
      </c>
    </row>
    <row r="278" spans="1:11" x14ac:dyDescent="0.3">
      <c r="A278" s="3">
        <v>274</v>
      </c>
      <c r="B278" s="3" t="s">
        <v>1338</v>
      </c>
      <c r="C278" s="3" t="s">
        <v>152</v>
      </c>
      <c r="D278" s="3" t="s">
        <v>10</v>
      </c>
      <c r="E278" s="3" t="s">
        <v>330</v>
      </c>
      <c r="F278" s="3" t="s">
        <v>339</v>
      </c>
      <c r="G278" s="3" t="s">
        <v>957</v>
      </c>
      <c r="H278" s="25" t="s">
        <v>1169</v>
      </c>
      <c r="I278" s="3" t="s">
        <v>13</v>
      </c>
      <c r="J278" s="3" t="s">
        <v>927</v>
      </c>
      <c r="K278" s="3" t="s">
        <v>20</v>
      </c>
    </row>
    <row r="279" spans="1:11" x14ac:dyDescent="0.3">
      <c r="A279" s="4">
        <v>275</v>
      </c>
      <c r="B279" s="4" t="s">
        <v>1339</v>
      </c>
      <c r="C279" s="4" t="s">
        <v>533</v>
      </c>
      <c r="D279" s="4" t="s">
        <v>10</v>
      </c>
      <c r="E279" s="4" t="s">
        <v>330</v>
      </c>
      <c r="F279" s="4" t="s">
        <v>534</v>
      </c>
      <c r="G279" s="4" t="s">
        <v>1340</v>
      </c>
      <c r="H279" s="26" t="s">
        <v>1185</v>
      </c>
      <c r="I279" s="4" t="s">
        <v>13</v>
      </c>
      <c r="J279" s="4" t="s">
        <v>926</v>
      </c>
      <c r="K279" s="4" t="s">
        <v>224</v>
      </c>
    </row>
    <row r="280" spans="1:11" x14ac:dyDescent="0.3">
      <c r="A280" s="5">
        <v>276</v>
      </c>
      <c r="B280" s="5" t="s">
        <v>1341</v>
      </c>
      <c r="C280" s="5" t="s">
        <v>535</v>
      </c>
      <c r="D280" s="5" t="s">
        <v>10</v>
      </c>
      <c r="E280" s="5" t="s">
        <v>330</v>
      </c>
      <c r="F280" s="5" t="s">
        <v>536</v>
      </c>
      <c r="G280" s="5" t="s">
        <v>1342</v>
      </c>
      <c r="H280" s="27" t="s">
        <v>1176</v>
      </c>
      <c r="I280" s="5" t="s">
        <v>13</v>
      </c>
      <c r="J280" s="5" t="s">
        <v>923</v>
      </c>
      <c r="K280" s="5" t="s">
        <v>14</v>
      </c>
    </row>
    <row r="281" spans="1:11" x14ac:dyDescent="0.3">
      <c r="A281" s="3">
        <v>277</v>
      </c>
      <c r="B281" s="3" t="s">
        <v>1341</v>
      </c>
      <c r="C281" s="3" t="s">
        <v>535</v>
      </c>
      <c r="D281" s="3" t="s">
        <v>10</v>
      </c>
      <c r="E281" s="3" t="s">
        <v>330</v>
      </c>
      <c r="F281" s="3" t="s">
        <v>468</v>
      </c>
      <c r="G281" s="3" t="s">
        <v>1259</v>
      </c>
      <c r="H281" s="25" t="s">
        <v>1190</v>
      </c>
      <c r="I281" s="3" t="s">
        <v>13</v>
      </c>
      <c r="J281" s="3" t="s">
        <v>927</v>
      </c>
      <c r="K281" s="3" t="s">
        <v>14</v>
      </c>
    </row>
    <row r="282" spans="1:11" x14ac:dyDescent="0.3">
      <c r="A282" s="4">
        <v>278</v>
      </c>
      <c r="B282" s="4" t="s">
        <v>1343</v>
      </c>
      <c r="C282" s="4" t="s">
        <v>537</v>
      </c>
      <c r="D282" s="4" t="s">
        <v>10</v>
      </c>
      <c r="E282" s="4" t="s">
        <v>330</v>
      </c>
      <c r="F282" s="4" t="s">
        <v>538</v>
      </c>
      <c r="G282" s="4" t="s">
        <v>1225</v>
      </c>
      <c r="H282" s="26" t="s">
        <v>1167</v>
      </c>
      <c r="I282" s="4" t="s">
        <v>13</v>
      </c>
      <c r="J282" s="4" t="s">
        <v>926</v>
      </c>
      <c r="K282" s="4" t="s">
        <v>224</v>
      </c>
    </row>
    <row r="283" spans="1:11" x14ac:dyDescent="0.3">
      <c r="A283" s="5">
        <v>279</v>
      </c>
      <c r="B283" s="5" t="s">
        <v>1344</v>
      </c>
      <c r="C283" s="5" t="s">
        <v>539</v>
      </c>
      <c r="D283" s="5" t="s">
        <v>10</v>
      </c>
      <c r="E283" s="5" t="s">
        <v>330</v>
      </c>
      <c r="F283" s="5" t="s">
        <v>511</v>
      </c>
      <c r="G283" s="5" t="s">
        <v>1345</v>
      </c>
      <c r="H283" s="27" t="s">
        <v>1196</v>
      </c>
      <c r="I283" s="5" t="s">
        <v>13</v>
      </c>
      <c r="J283" s="5" t="s">
        <v>925</v>
      </c>
      <c r="K283" s="5" t="s">
        <v>14</v>
      </c>
    </row>
    <row r="284" spans="1:11" x14ac:dyDescent="0.3">
      <c r="A284" s="4">
        <v>280</v>
      </c>
      <c r="B284" s="4" t="s">
        <v>1346</v>
      </c>
      <c r="C284" s="4" t="s">
        <v>540</v>
      </c>
      <c r="D284" s="4" t="s">
        <v>10</v>
      </c>
      <c r="E284" s="4" t="s">
        <v>330</v>
      </c>
      <c r="F284" s="4" t="s">
        <v>505</v>
      </c>
      <c r="G284" s="4" t="s">
        <v>980</v>
      </c>
      <c r="H284" s="26" t="s">
        <v>1169</v>
      </c>
      <c r="I284" s="4" t="s">
        <v>13</v>
      </c>
      <c r="J284" s="4" t="s">
        <v>926</v>
      </c>
      <c r="K284" s="4" t="s">
        <v>20</v>
      </c>
    </row>
    <row r="285" spans="1:11" x14ac:dyDescent="0.3">
      <c r="A285" s="5">
        <v>281</v>
      </c>
      <c r="B285" s="5" t="s">
        <v>1347</v>
      </c>
      <c r="C285" s="5" t="s">
        <v>541</v>
      </c>
      <c r="D285" s="5" t="s">
        <v>10</v>
      </c>
      <c r="E285" s="5" t="s">
        <v>330</v>
      </c>
      <c r="F285" s="5" t="s">
        <v>542</v>
      </c>
      <c r="G285" s="5" t="s">
        <v>1348</v>
      </c>
      <c r="H285" s="27" t="s">
        <v>1164</v>
      </c>
      <c r="I285" s="5" t="s">
        <v>13</v>
      </c>
      <c r="J285" s="5" t="s">
        <v>925</v>
      </c>
      <c r="K285" s="5" t="s">
        <v>20</v>
      </c>
    </row>
    <row r="286" spans="1:11" x14ac:dyDescent="0.3">
      <c r="A286" s="5">
        <v>282</v>
      </c>
      <c r="B286" s="5" t="s">
        <v>1349</v>
      </c>
      <c r="C286" s="5" t="s">
        <v>543</v>
      </c>
      <c r="D286" s="5" t="s">
        <v>10</v>
      </c>
      <c r="E286" s="5" t="s">
        <v>330</v>
      </c>
      <c r="F286" s="5" t="s">
        <v>531</v>
      </c>
      <c r="G286" s="5" t="s">
        <v>1003</v>
      </c>
      <c r="H286" s="27" t="s">
        <v>1191</v>
      </c>
      <c r="I286" s="5" t="s">
        <v>13</v>
      </c>
      <c r="J286" s="5" t="s">
        <v>925</v>
      </c>
      <c r="K286" s="5" t="s">
        <v>544</v>
      </c>
    </row>
    <row r="287" spans="1:11" x14ac:dyDescent="0.3">
      <c r="A287" s="4">
        <v>283</v>
      </c>
      <c r="B287" s="4" t="s">
        <v>1350</v>
      </c>
      <c r="C287" s="4" t="s">
        <v>545</v>
      </c>
      <c r="D287" s="4" t="s">
        <v>10</v>
      </c>
      <c r="E287" s="4" t="s">
        <v>330</v>
      </c>
      <c r="F287" s="4" t="s">
        <v>339</v>
      </c>
      <c r="G287" s="4" t="s">
        <v>1045</v>
      </c>
      <c r="H287" s="26" t="s">
        <v>1169</v>
      </c>
      <c r="I287" s="4" t="s">
        <v>13</v>
      </c>
      <c r="J287" s="4" t="s">
        <v>926</v>
      </c>
      <c r="K287" s="4" t="s">
        <v>20</v>
      </c>
    </row>
    <row r="288" spans="1:11" x14ac:dyDescent="0.3">
      <c r="A288" s="5">
        <v>284</v>
      </c>
      <c r="B288" s="5" t="s">
        <v>1351</v>
      </c>
      <c r="C288" s="5" t="s">
        <v>546</v>
      </c>
      <c r="D288" s="5" t="s">
        <v>10</v>
      </c>
      <c r="E288" s="5" t="s">
        <v>330</v>
      </c>
      <c r="F288" s="5" t="s">
        <v>547</v>
      </c>
      <c r="G288" s="5" t="s">
        <v>1352</v>
      </c>
      <c r="H288" s="27" t="s">
        <v>1176</v>
      </c>
      <c r="I288" s="5" t="s">
        <v>13</v>
      </c>
      <c r="J288" s="5" t="s">
        <v>925</v>
      </c>
      <c r="K288" s="5" t="s">
        <v>205</v>
      </c>
    </row>
    <row r="289" spans="1:11" x14ac:dyDescent="0.3">
      <c r="A289" s="4">
        <v>285</v>
      </c>
      <c r="B289" s="4" t="s">
        <v>1353</v>
      </c>
      <c r="C289" s="4" t="s">
        <v>548</v>
      </c>
      <c r="D289" s="4" t="s">
        <v>10</v>
      </c>
      <c r="E289" s="4" t="s">
        <v>330</v>
      </c>
      <c r="F289" s="4" t="s">
        <v>453</v>
      </c>
      <c r="G289" s="4" t="s">
        <v>1354</v>
      </c>
      <c r="H289" s="26" t="s">
        <v>1164</v>
      </c>
      <c r="I289" s="4" t="s">
        <v>13</v>
      </c>
      <c r="J289" s="4" t="s">
        <v>926</v>
      </c>
      <c r="K289" s="4" t="s">
        <v>165</v>
      </c>
    </row>
    <row r="290" spans="1:11" x14ac:dyDescent="0.3">
      <c r="A290" s="4">
        <v>286</v>
      </c>
      <c r="B290" s="4" t="s">
        <v>1355</v>
      </c>
      <c r="C290" s="4" t="s">
        <v>549</v>
      </c>
      <c r="D290" s="4" t="s">
        <v>10</v>
      </c>
      <c r="E290" s="4" t="s">
        <v>330</v>
      </c>
      <c r="F290" s="4" t="s">
        <v>550</v>
      </c>
      <c r="G290" s="4" t="s">
        <v>938</v>
      </c>
      <c r="H290" s="26" t="s">
        <v>1169</v>
      </c>
      <c r="I290" s="4" t="s">
        <v>13</v>
      </c>
      <c r="J290" s="4" t="s">
        <v>926</v>
      </c>
      <c r="K290" s="4" t="s">
        <v>224</v>
      </c>
    </row>
    <row r="291" spans="1:11" x14ac:dyDescent="0.3">
      <c r="A291" s="6">
        <v>287</v>
      </c>
      <c r="B291" s="6" t="s">
        <v>1356</v>
      </c>
      <c r="C291" s="6" t="s">
        <v>551</v>
      </c>
      <c r="D291" s="6" t="s">
        <v>10</v>
      </c>
      <c r="E291" s="6" t="s">
        <v>330</v>
      </c>
      <c r="F291" s="6" t="s">
        <v>357</v>
      </c>
      <c r="G291" s="6" t="s">
        <v>1005</v>
      </c>
      <c r="H291" s="28" t="s">
        <v>1190</v>
      </c>
      <c r="I291" s="6" t="s">
        <v>13</v>
      </c>
      <c r="J291" s="6" t="s">
        <v>928</v>
      </c>
      <c r="K291" s="6" t="s">
        <v>14</v>
      </c>
    </row>
    <row r="292" spans="1:11" x14ac:dyDescent="0.3">
      <c r="A292" s="6">
        <v>288</v>
      </c>
      <c r="B292" s="6" t="s">
        <v>1356</v>
      </c>
      <c r="C292" s="6" t="s">
        <v>551</v>
      </c>
      <c r="D292" s="6" t="s">
        <v>10</v>
      </c>
      <c r="E292" s="6" t="s">
        <v>330</v>
      </c>
      <c r="F292" s="6" t="s">
        <v>451</v>
      </c>
      <c r="G292" s="6" t="s">
        <v>1005</v>
      </c>
      <c r="H292" s="28" t="s">
        <v>1185</v>
      </c>
      <c r="I292" s="6" t="s">
        <v>13</v>
      </c>
      <c r="J292" s="6" t="s">
        <v>928</v>
      </c>
      <c r="K292" s="6" t="s">
        <v>14</v>
      </c>
    </row>
    <row r="293" spans="1:11" x14ac:dyDescent="0.3">
      <c r="A293" s="3">
        <v>289</v>
      </c>
      <c r="B293" s="3" t="s">
        <v>1357</v>
      </c>
      <c r="C293" s="3" t="s">
        <v>88</v>
      </c>
      <c r="D293" s="3" t="s">
        <v>10</v>
      </c>
      <c r="E293" s="3" t="s">
        <v>330</v>
      </c>
      <c r="F293" s="3" t="s">
        <v>552</v>
      </c>
      <c r="G293" s="3" t="s">
        <v>953</v>
      </c>
      <c r="H293" s="25" t="s">
        <v>1185</v>
      </c>
      <c r="I293" s="3" t="s">
        <v>13</v>
      </c>
      <c r="J293" s="3" t="s">
        <v>927</v>
      </c>
      <c r="K293" s="3" t="s">
        <v>224</v>
      </c>
    </row>
    <row r="294" spans="1:11" x14ac:dyDescent="0.3">
      <c r="A294" s="4">
        <v>290</v>
      </c>
      <c r="B294" s="4" t="s">
        <v>1358</v>
      </c>
      <c r="C294" s="4" t="s">
        <v>553</v>
      </c>
      <c r="D294" s="4" t="s">
        <v>10</v>
      </c>
      <c r="E294" s="4" t="s">
        <v>330</v>
      </c>
      <c r="F294" s="4" t="s">
        <v>451</v>
      </c>
      <c r="G294" s="4" t="s">
        <v>1003</v>
      </c>
      <c r="H294" s="26" t="s">
        <v>1185</v>
      </c>
      <c r="I294" s="4" t="s">
        <v>13</v>
      </c>
      <c r="J294" s="4" t="s">
        <v>926</v>
      </c>
      <c r="K294" s="4" t="s">
        <v>265</v>
      </c>
    </row>
    <row r="295" spans="1:11" x14ac:dyDescent="0.3">
      <c r="A295" s="5">
        <v>291</v>
      </c>
      <c r="B295" s="5" t="s">
        <v>1359</v>
      </c>
      <c r="C295" s="5" t="s">
        <v>554</v>
      </c>
      <c r="D295" s="5" t="s">
        <v>10</v>
      </c>
      <c r="E295" s="5" t="s">
        <v>330</v>
      </c>
      <c r="F295" s="5" t="s">
        <v>555</v>
      </c>
      <c r="G295" s="5" t="s">
        <v>1360</v>
      </c>
      <c r="H295" s="27" t="s">
        <v>1169</v>
      </c>
      <c r="I295" s="5" t="s">
        <v>13</v>
      </c>
      <c r="J295" s="5" t="s">
        <v>925</v>
      </c>
      <c r="K295" s="5" t="s">
        <v>43</v>
      </c>
    </row>
    <row r="296" spans="1:11" x14ac:dyDescent="0.3">
      <c r="A296" s="5">
        <v>292</v>
      </c>
      <c r="B296" s="5" t="s">
        <v>1361</v>
      </c>
      <c r="C296" s="5" t="s">
        <v>556</v>
      </c>
      <c r="D296" s="5" t="s">
        <v>10</v>
      </c>
      <c r="E296" s="5" t="s">
        <v>330</v>
      </c>
      <c r="F296" s="5" t="s">
        <v>331</v>
      </c>
      <c r="G296" s="5" t="s">
        <v>1362</v>
      </c>
      <c r="H296" s="27" t="s">
        <v>1164</v>
      </c>
      <c r="I296" s="5" t="s">
        <v>13</v>
      </c>
      <c r="J296" s="5" t="s">
        <v>925</v>
      </c>
      <c r="K296" s="5" t="s">
        <v>14</v>
      </c>
    </row>
    <row r="297" spans="1:11" x14ac:dyDescent="0.3">
      <c r="A297" s="4">
        <v>293</v>
      </c>
      <c r="B297" s="4" t="s">
        <v>1363</v>
      </c>
      <c r="C297" s="4" t="s">
        <v>557</v>
      </c>
      <c r="D297" s="4" t="s">
        <v>10</v>
      </c>
      <c r="E297" s="4" t="s">
        <v>330</v>
      </c>
      <c r="F297" s="4" t="s">
        <v>498</v>
      </c>
      <c r="G297" s="4" t="s">
        <v>1364</v>
      </c>
      <c r="H297" s="26" t="s">
        <v>1164</v>
      </c>
      <c r="I297" s="4" t="s">
        <v>13</v>
      </c>
      <c r="J297" s="4" t="s">
        <v>926</v>
      </c>
      <c r="K297" s="4" t="s">
        <v>20</v>
      </c>
    </row>
    <row r="298" spans="1:11" x14ac:dyDescent="0.3">
      <c r="A298" s="4">
        <v>294</v>
      </c>
      <c r="B298" s="4" t="s">
        <v>1365</v>
      </c>
      <c r="C298" s="4" t="s">
        <v>558</v>
      </c>
      <c r="D298" s="4" t="s">
        <v>10</v>
      </c>
      <c r="E298" s="4" t="s">
        <v>330</v>
      </c>
      <c r="F298" s="4" t="s">
        <v>404</v>
      </c>
      <c r="G298" s="4" t="s">
        <v>1366</v>
      </c>
      <c r="H298" s="26" t="s">
        <v>1190</v>
      </c>
      <c r="I298" s="4" t="s">
        <v>13</v>
      </c>
      <c r="J298" s="4" t="s">
        <v>926</v>
      </c>
      <c r="K298" s="4" t="s">
        <v>224</v>
      </c>
    </row>
    <row r="299" spans="1:11" x14ac:dyDescent="0.3">
      <c r="A299" s="5">
        <v>295</v>
      </c>
      <c r="B299" s="5" t="s">
        <v>1367</v>
      </c>
      <c r="C299" s="5" t="s">
        <v>559</v>
      </c>
      <c r="D299" s="5" t="s">
        <v>10</v>
      </c>
      <c r="E299" s="5" t="s">
        <v>330</v>
      </c>
      <c r="F299" s="5" t="s">
        <v>560</v>
      </c>
      <c r="G299" s="5" t="s">
        <v>1368</v>
      </c>
      <c r="H299" s="27" t="s">
        <v>1164</v>
      </c>
      <c r="I299" s="5" t="s">
        <v>13</v>
      </c>
      <c r="J299" s="5" t="s">
        <v>925</v>
      </c>
      <c r="K299" s="5" t="s">
        <v>14</v>
      </c>
    </row>
    <row r="300" spans="1:11" x14ac:dyDescent="0.3">
      <c r="A300" s="4">
        <v>296</v>
      </c>
      <c r="B300" s="4" t="s">
        <v>1367</v>
      </c>
      <c r="C300" s="4" t="s">
        <v>561</v>
      </c>
      <c r="D300" s="4" t="s">
        <v>10</v>
      </c>
      <c r="E300" s="4" t="s">
        <v>330</v>
      </c>
      <c r="F300" s="4" t="s">
        <v>560</v>
      </c>
      <c r="G300" s="4" t="s">
        <v>1368</v>
      </c>
      <c r="H300" s="26" t="s">
        <v>1164</v>
      </c>
      <c r="I300" s="4" t="s">
        <v>13</v>
      </c>
      <c r="J300" s="4" t="s">
        <v>926</v>
      </c>
      <c r="K300" s="4" t="s">
        <v>14</v>
      </c>
    </row>
    <row r="301" spans="1:11" x14ac:dyDescent="0.3">
      <c r="A301" s="4">
        <v>297</v>
      </c>
      <c r="B301" s="4" t="s">
        <v>1367</v>
      </c>
      <c r="C301" s="4" t="s">
        <v>562</v>
      </c>
      <c r="D301" s="4" t="s">
        <v>10</v>
      </c>
      <c r="E301" s="4" t="s">
        <v>330</v>
      </c>
      <c r="F301" s="4" t="s">
        <v>560</v>
      </c>
      <c r="G301" s="4" t="s">
        <v>1368</v>
      </c>
      <c r="H301" s="26" t="s">
        <v>1164</v>
      </c>
      <c r="I301" s="4" t="s">
        <v>13</v>
      </c>
      <c r="J301" s="4" t="s">
        <v>926</v>
      </c>
      <c r="K301" s="4" t="s">
        <v>14</v>
      </c>
    </row>
    <row r="302" spans="1:11" x14ac:dyDescent="0.3">
      <c r="A302" s="4">
        <v>298</v>
      </c>
      <c r="B302" s="4" t="s">
        <v>1369</v>
      </c>
      <c r="C302" s="4" t="s">
        <v>563</v>
      </c>
      <c r="D302" s="4" t="s">
        <v>10</v>
      </c>
      <c r="E302" s="4" t="s">
        <v>330</v>
      </c>
      <c r="F302" s="4" t="s">
        <v>453</v>
      </c>
      <c r="G302" s="4" t="s">
        <v>1370</v>
      </c>
      <c r="H302" s="26" t="s">
        <v>1164</v>
      </c>
      <c r="I302" s="4" t="s">
        <v>13</v>
      </c>
      <c r="J302" s="4" t="s">
        <v>926</v>
      </c>
      <c r="K302" s="4" t="s">
        <v>43</v>
      </c>
    </row>
    <row r="303" spans="1:11" x14ac:dyDescent="0.3">
      <c r="A303" s="5">
        <v>299</v>
      </c>
      <c r="B303" s="5" t="s">
        <v>1371</v>
      </c>
      <c r="C303" s="5" t="s">
        <v>564</v>
      </c>
      <c r="D303" s="5" t="s">
        <v>10</v>
      </c>
      <c r="E303" s="5" t="s">
        <v>330</v>
      </c>
      <c r="F303" s="5" t="s">
        <v>565</v>
      </c>
      <c r="G303" s="5" t="s">
        <v>1085</v>
      </c>
      <c r="H303" s="27" t="s">
        <v>1164</v>
      </c>
      <c r="I303" s="5" t="s">
        <v>13</v>
      </c>
      <c r="J303" s="5" t="s">
        <v>925</v>
      </c>
      <c r="K303" s="5" t="s">
        <v>342</v>
      </c>
    </row>
    <row r="304" spans="1:11" x14ac:dyDescent="0.3">
      <c r="A304" s="4">
        <v>300</v>
      </c>
      <c r="B304" s="4" t="s">
        <v>1372</v>
      </c>
      <c r="C304" s="4" t="s">
        <v>566</v>
      </c>
      <c r="D304" s="4" t="s">
        <v>10</v>
      </c>
      <c r="E304" s="4" t="s">
        <v>330</v>
      </c>
      <c r="F304" s="4" t="s">
        <v>567</v>
      </c>
      <c r="G304" s="4" t="s">
        <v>965</v>
      </c>
      <c r="H304" s="26" t="s">
        <v>1198</v>
      </c>
      <c r="I304" s="4" t="s">
        <v>13</v>
      </c>
      <c r="J304" s="4" t="s">
        <v>926</v>
      </c>
      <c r="K304" s="4" t="s">
        <v>43</v>
      </c>
    </row>
    <row r="305" spans="1:11" x14ac:dyDescent="0.3">
      <c r="A305" s="4">
        <v>301</v>
      </c>
      <c r="B305" s="4" t="s">
        <v>1372</v>
      </c>
      <c r="C305" s="4" t="s">
        <v>568</v>
      </c>
      <c r="D305" s="4" t="s">
        <v>10</v>
      </c>
      <c r="E305" s="4" t="s">
        <v>330</v>
      </c>
      <c r="F305" s="4" t="s">
        <v>569</v>
      </c>
      <c r="G305" s="4" t="s">
        <v>955</v>
      </c>
      <c r="H305" s="26" t="s">
        <v>1373</v>
      </c>
      <c r="I305" s="4" t="s">
        <v>13</v>
      </c>
      <c r="J305" s="4" t="s">
        <v>926</v>
      </c>
      <c r="K305" s="4" t="s">
        <v>14</v>
      </c>
    </row>
    <row r="306" spans="1:11" x14ac:dyDescent="0.3">
      <c r="A306" s="5">
        <v>302</v>
      </c>
      <c r="B306" s="5" t="s">
        <v>1374</v>
      </c>
      <c r="C306" s="5" t="s">
        <v>570</v>
      </c>
      <c r="D306" s="5" t="s">
        <v>10</v>
      </c>
      <c r="E306" s="5" t="s">
        <v>330</v>
      </c>
      <c r="F306" s="5" t="s">
        <v>571</v>
      </c>
      <c r="G306" s="5" t="s">
        <v>1375</v>
      </c>
      <c r="H306" s="27" t="s">
        <v>1164</v>
      </c>
      <c r="I306" s="5" t="s">
        <v>13</v>
      </c>
      <c r="J306" s="5" t="s">
        <v>925</v>
      </c>
      <c r="K306" s="5" t="s">
        <v>572</v>
      </c>
    </row>
    <row r="307" spans="1:11" x14ac:dyDescent="0.3">
      <c r="A307" s="5">
        <v>303</v>
      </c>
      <c r="B307" s="5" t="s">
        <v>1376</v>
      </c>
      <c r="C307" s="5" t="s">
        <v>573</v>
      </c>
      <c r="D307" s="5" t="s">
        <v>10</v>
      </c>
      <c r="E307" s="5" t="s">
        <v>330</v>
      </c>
      <c r="F307" s="5" t="s">
        <v>574</v>
      </c>
      <c r="G307" s="5" t="s">
        <v>1180</v>
      </c>
      <c r="H307" s="27" t="s">
        <v>1190</v>
      </c>
      <c r="I307" s="5" t="s">
        <v>13</v>
      </c>
      <c r="J307" s="5" t="s">
        <v>925</v>
      </c>
      <c r="K307" s="5" t="s">
        <v>20</v>
      </c>
    </row>
    <row r="308" spans="1:11" x14ac:dyDescent="0.3">
      <c r="A308" s="5">
        <v>304</v>
      </c>
      <c r="B308" s="5" t="s">
        <v>1377</v>
      </c>
      <c r="C308" s="5" t="s">
        <v>575</v>
      </c>
      <c r="D308" s="5" t="s">
        <v>10</v>
      </c>
      <c r="E308" s="5" t="s">
        <v>330</v>
      </c>
      <c r="F308" s="5" t="s">
        <v>576</v>
      </c>
      <c r="G308" s="5" t="s">
        <v>1130</v>
      </c>
      <c r="H308" s="27" t="s">
        <v>1167</v>
      </c>
      <c r="I308" s="5" t="s">
        <v>13</v>
      </c>
      <c r="J308" s="5" t="s">
        <v>925</v>
      </c>
      <c r="K308" s="5" t="s">
        <v>14</v>
      </c>
    </row>
    <row r="309" spans="1:11" x14ac:dyDescent="0.3">
      <c r="A309" s="4">
        <v>305</v>
      </c>
      <c r="B309" s="4" t="s">
        <v>1378</v>
      </c>
      <c r="C309" s="4" t="s">
        <v>577</v>
      </c>
      <c r="D309" s="4" t="s">
        <v>10</v>
      </c>
      <c r="E309" s="4" t="s">
        <v>330</v>
      </c>
      <c r="F309" s="4" t="s">
        <v>578</v>
      </c>
      <c r="G309" s="4" t="s">
        <v>965</v>
      </c>
      <c r="H309" s="26" t="s">
        <v>1190</v>
      </c>
      <c r="I309" s="4" t="s">
        <v>13</v>
      </c>
      <c r="J309" s="4" t="s">
        <v>926</v>
      </c>
      <c r="K309" s="4" t="s">
        <v>20</v>
      </c>
    </row>
    <row r="310" spans="1:11" x14ac:dyDescent="0.3">
      <c r="A310" s="5">
        <v>306</v>
      </c>
      <c r="B310" s="5" t="s">
        <v>1379</v>
      </c>
      <c r="C310" s="5" t="s">
        <v>579</v>
      </c>
      <c r="D310" s="5" t="s">
        <v>10</v>
      </c>
      <c r="E310" s="5" t="s">
        <v>330</v>
      </c>
      <c r="F310" s="5" t="s">
        <v>337</v>
      </c>
      <c r="G310" s="5" t="s">
        <v>1380</v>
      </c>
      <c r="H310" s="27" t="s">
        <v>1169</v>
      </c>
      <c r="I310" s="5" t="s">
        <v>13</v>
      </c>
      <c r="J310" s="5" t="s">
        <v>925</v>
      </c>
      <c r="K310" s="5" t="s">
        <v>14</v>
      </c>
    </row>
    <row r="311" spans="1:11" x14ac:dyDescent="0.3">
      <c r="A311" s="3">
        <v>307</v>
      </c>
      <c r="B311" s="3" t="s">
        <v>1381</v>
      </c>
      <c r="C311" s="3" t="s">
        <v>580</v>
      </c>
      <c r="D311" s="3" t="s">
        <v>10</v>
      </c>
      <c r="E311" s="3" t="s">
        <v>330</v>
      </c>
      <c r="F311" s="3" t="s">
        <v>552</v>
      </c>
      <c r="G311" s="3" t="s">
        <v>1382</v>
      </c>
      <c r="H311" s="25" t="s">
        <v>1185</v>
      </c>
      <c r="I311" s="3" t="s">
        <v>13</v>
      </c>
      <c r="J311" s="3" t="s">
        <v>927</v>
      </c>
      <c r="K311" s="3" t="s">
        <v>20</v>
      </c>
    </row>
    <row r="312" spans="1:11" x14ac:dyDescent="0.3">
      <c r="A312" s="5">
        <v>308</v>
      </c>
      <c r="B312" s="5" t="s">
        <v>1383</v>
      </c>
      <c r="C312" s="5" t="s">
        <v>581</v>
      </c>
      <c r="D312" s="5" t="s">
        <v>10</v>
      </c>
      <c r="E312" s="5" t="s">
        <v>330</v>
      </c>
      <c r="F312" s="5" t="s">
        <v>503</v>
      </c>
      <c r="G312" s="5" t="s">
        <v>1384</v>
      </c>
      <c r="H312" s="27" t="s">
        <v>1254</v>
      </c>
      <c r="I312" s="5" t="s">
        <v>13</v>
      </c>
      <c r="J312" s="5" t="s">
        <v>925</v>
      </c>
      <c r="K312" s="5" t="s">
        <v>224</v>
      </c>
    </row>
    <row r="313" spans="1:11" x14ac:dyDescent="0.3">
      <c r="A313" s="5">
        <v>309</v>
      </c>
      <c r="B313" s="5" t="s">
        <v>1385</v>
      </c>
      <c r="C313" s="5" t="s">
        <v>582</v>
      </c>
      <c r="D313" s="5" t="s">
        <v>10</v>
      </c>
      <c r="E313" s="5" t="s">
        <v>330</v>
      </c>
      <c r="F313" s="5" t="s">
        <v>410</v>
      </c>
      <c r="G313" s="5" t="s">
        <v>1033</v>
      </c>
      <c r="H313" s="27" t="s">
        <v>1176</v>
      </c>
      <c r="I313" s="5" t="s">
        <v>13</v>
      </c>
      <c r="J313" s="5" t="s">
        <v>925</v>
      </c>
      <c r="K313" s="5" t="s">
        <v>14</v>
      </c>
    </row>
    <row r="314" spans="1:11" x14ac:dyDescent="0.3">
      <c r="A314" s="5">
        <v>310</v>
      </c>
      <c r="B314" s="5" t="s">
        <v>1386</v>
      </c>
      <c r="C314" s="5" t="s">
        <v>583</v>
      </c>
      <c r="D314" s="5" t="s">
        <v>10</v>
      </c>
      <c r="E314" s="5" t="s">
        <v>330</v>
      </c>
      <c r="F314" s="5" t="s">
        <v>404</v>
      </c>
      <c r="G314" s="5" t="s">
        <v>1387</v>
      </c>
      <c r="H314" s="27" t="s">
        <v>1190</v>
      </c>
      <c r="I314" s="5" t="s">
        <v>13</v>
      </c>
      <c r="J314" s="5" t="s">
        <v>925</v>
      </c>
      <c r="K314" s="5" t="s">
        <v>448</v>
      </c>
    </row>
    <row r="315" spans="1:11" x14ac:dyDescent="0.3">
      <c r="A315" s="3">
        <v>311</v>
      </c>
      <c r="B315" s="3" t="s">
        <v>1388</v>
      </c>
      <c r="C315" s="3" t="s">
        <v>584</v>
      </c>
      <c r="D315" s="3" t="s">
        <v>10</v>
      </c>
      <c r="E315" s="3" t="s">
        <v>330</v>
      </c>
      <c r="F315" s="3" t="s">
        <v>585</v>
      </c>
      <c r="G315" s="3" t="s">
        <v>971</v>
      </c>
      <c r="H315" s="25" t="s">
        <v>1167</v>
      </c>
      <c r="I315" s="3" t="s">
        <v>13</v>
      </c>
      <c r="J315" s="3" t="s">
        <v>927</v>
      </c>
      <c r="K315" s="3" t="s">
        <v>14</v>
      </c>
    </row>
    <row r="316" spans="1:11" x14ac:dyDescent="0.3">
      <c r="A316" s="5">
        <v>312</v>
      </c>
      <c r="B316" s="5" t="s">
        <v>1389</v>
      </c>
      <c r="C316" s="5" t="s">
        <v>586</v>
      </c>
      <c r="D316" s="5" t="s">
        <v>10</v>
      </c>
      <c r="E316" s="5" t="s">
        <v>330</v>
      </c>
      <c r="F316" s="5" t="s">
        <v>587</v>
      </c>
      <c r="G316" s="5" t="s">
        <v>1390</v>
      </c>
      <c r="H316" s="27" t="s">
        <v>1169</v>
      </c>
      <c r="I316" s="5" t="s">
        <v>13</v>
      </c>
      <c r="J316" s="5" t="s">
        <v>925</v>
      </c>
      <c r="K316" s="5" t="s">
        <v>488</v>
      </c>
    </row>
    <row r="317" spans="1:11" x14ac:dyDescent="0.3">
      <c r="A317" s="4">
        <v>313</v>
      </c>
      <c r="B317" s="4" t="s">
        <v>1391</v>
      </c>
      <c r="C317" s="4" t="s">
        <v>588</v>
      </c>
      <c r="D317" s="4" t="s">
        <v>10</v>
      </c>
      <c r="E317" s="4" t="s">
        <v>330</v>
      </c>
      <c r="F317" s="4" t="s">
        <v>466</v>
      </c>
      <c r="G317" s="4" t="s">
        <v>1158</v>
      </c>
      <c r="H317" s="26" t="s">
        <v>1164</v>
      </c>
      <c r="I317" s="4" t="s">
        <v>13</v>
      </c>
      <c r="J317" s="4" t="s">
        <v>926</v>
      </c>
      <c r="K317" s="4" t="s">
        <v>165</v>
      </c>
    </row>
    <row r="318" spans="1:11" x14ac:dyDescent="0.3">
      <c r="A318" s="4">
        <v>314</v>
      </c>
      <c r="B318" s="4" t="s">
        <v>1392</v>
      </c>
      <c r="C318" s="4" t="s">
        <v>589</v>
      </c>
      <c r="D318" s="4" t="s">
        <v>10</v>
      </c>
      <c r="E318" s="4" t="s">
        <v>330</v>
      </c>
      <c r="F318" s="4" t="s">
        <v>590</v>
      </c>
      <c r="G318" s="4" t="s">
        <v>1348</v>
      </c>
      <c r="H318" s="26" t="s">
        <v>1262</v>
      </c>
      <c r="I318" s="4" t="s">
        <v>13</v>
      </c>
      <c r="J318" s="4" t="s">
        <v>926</v>
      </c>
      <c r="K318" s="4" t="s">
        <v>20</v>
      </c>
    </row>
    <row r="319" spans="1:11" x14ac:dyDescent="0.3">
      <c r="A319" s="4">
        <v>315</v>
      </c>
      <c r="B319" s="4" t="s">
        <v>1393</v>
      </c>
      <c r="C319" s="4" t="s">
        <v>591</v>
      </c>
      <c r="D319" s="4" t="s">
        <v>10</v>
      </c>
      <c r="E319" s="4" t="s">
        <v>330</v>
      </c>
      <c r="F319" s="4" t="s">
        <v>550</v>
      </c>
      <c r="G319" s="4" t="s">
        <v>982</v>
      </c>
      <c r="H319" s="26" t="s">
        <v>1169</v>
      </c>
      <c r="I319" s="4" t="s">
        <v>13</v>
      </c>
      <c r="J319" s="4" t="s">
        <v>926</v>
      </c>
      <c r="K319" s="4" t="s">
        <v>411</v>
      </c>
    </row>
    <row r="320" spans="1:11" x14ac:dyDescent="0.3">
      <c r="A320" s="5">
        <v>316</v>
      </c>
      <c r="B320" s="5" t="s">
        <v>1394</v>
      </c>
      <c r="C320" s="5" t="s">
        <v>592</v>
      </c>
      <c r="D320" s="5" t="s">
        <v>10</v>
      </c>
      <c r="E320" s="5" t="s">
        <v>330</v>
      </c>
      <c r="F320" s="5" t="s">
        <v>404</v>
      </c>
      <c r="G320" s="5" t="s">
        <v>1370</v>
      </c>
      <c r="H320" s="27" t="s">
        <v>1190</v>
      </c>
      <c r="I320" s="5" t="s">
        <v>13</v>
      </c>
      <c r="J320" s="5" t="s">
        <v>925</v>
      </c>
      <c r="K320" s="5" t="s">
        <v>66</v>
      </c>
    </row>
    <row r="321" spans="1:11" x14ac:dyDescent="0.3">
      <c r="A321" s="4">
        <v>317</v>
      </c>
      <c r="B321" s="4" t="s">
        <v>1395</v>
      </c>
      <c r="C321" s="4" t="s">
        <v>593</v>
      </c>
      <c r="D321" s="4" t="s">
        <v>10</v>
      </c>
      <c r="E321" s="4" t="s">
        <v>330</v>
      </c>
      <c r="F321" s="4" t="s">
        <v>569</v>
      </c>
      <c r="G321" s="4" t="s">
        <v>953</v>
      </c>
      <c r="H321" s="26" t="s">
        <v>1373</v>
      </c>
      <c r="I321" s="4" t="s">
        <v>13</v>
      </c>
      <c r="J321" s="4" t="s">
        <v>926</v>
      </c>
      <c r="K321" s="4" t="s">
        <v>43</v>
      </c>
    </row>
    <row r="322" spans="1:11" x14ac:dyDescent="0.3">
      <c r="A322" s="4">
        <v>318</v>
      </c>
      <c r="B322" s="4" t="s">
        <v>1396</v>
      </c>
      <c r="C322" s="4" t="s">
        <v>594</v>
      </c>
      <c r="D322" s="4" t="s">
        <v>10</v>
      </c>
      <c r="E322" s="4" t="s">
        <v>330</v>
      </c>
      <c r="F322" s="4" t="s">
        <v>595</v>
      </c>
      <c r="G322" s="4" t="s">
        <v>999</v>
      </c>
      <c r="H322" s="26" t="s">
        <v>1183</v>
      </c>
      <c r="I322" s="4" t="s">
        <v>13</v>
      </c>
      <c r="J322" s="4" t="s">
        <v>926</v>
      </c>
      <c r="K322" s="4" t="s">
        <v>14</v>
      </c>
    </row>
    <row r="323" spans="1:11" x14ac:dyDescent="0.3">
      <c r="A323" s="4">
        <v>319</v>
      </c>
      <c r="B323" s="4" t="s">
        <v>1397</v>
      </c>
      <c r="C323" s="4" t="s">
        <v>596</v>
      </c>
      <c r="D323" s="4" t="s">
        <v>10</v>
      </c>
      <c r="E323" s="4" t="s">
        <v>330</v>
      </c>
      <c r="F323" s="4" t="s">
        <v>597</v>
      </c>
      <c r="G323" s="4" t="s">
        <v>1398</v>
      </c>
      <c r="H323" s="26" t="s">
        <v>1196</v>
      </c>
      <c r="I323" s="4" t="s">
        <v>13</v>
      </c>
      <c r="J323" s="4" t="s">
        <v>926</v>
      </c>
      <c r="K323" s="4" t="s">
        <v>14</v>
      </c>
    </row>
    <row r="324" spans="1:11" x14ac:dyDescent="0.3">
      <c r="A324" s="4">
        <v>320</v>
      </c>
      <c r="B324" s="4" t="s">
        <v>1399</v>
      </c>
      <c r="C324" s="4" t="s">
        <v>598</v>
      </c>
      <c r="D324" s="4" t="s">
        <v>10</v>
      </c>
      <c r="E324" s="4" t="s">
        <v>330</v>
      </c>
      <c r="F324" s="4" t="s">
        <v>337</v>
      </c>
      <c r="G324" s="4" t="s">
        <v>1053</v>
      </c>
      <c r="H324" s="26" t="s">
        <v>1169</v>
      </c>
      <c r="I324" s="4" t="s">
        <v>13</v>
      </c>
      <c r="J324" s="4" t="s">
        <v>926</v>
      </c>
      <c r="K324" s="4" t="s">
        <v>43</v>
      </c>
    </row>
    <row r="325" spans="1:11" x14ac:dyDescent="0.3">
      <c r="A325" s="4">
        <v>321</v>
      </c>
      <c r="B325" s="4" t="s">
        <v>1400</v>
      </c>
      <c r="C325" s="4" t="s">
        <v>599</v>
      </c>
      <c r="D325" s="4" t="s">
        <v>10</v>
      </c>
      <c r="E325" s="4" t="s">
        <v>330</v>
      </c>
      <c r="F325" s="4" t="s">
        <v>360</v>
      </c>
      <c r="G325" s="4" t="s">
        <v>1056</v>
      </c>
      <c r="H325" s="26" t="s">
        <v>1192</v>
      </c>
      <c r="I325" s="4" t="s">
        <v>13</v>
      </c>
      <c r="J325" s="4" t="s">
        <v>926</v>
      </c>
      <c r="K325" s="4" t="s">
        <v>14</v>
      </c>
    </row>
    <row r="326" spans="1:11" x14ac:dyDescent="0.3">
      <c r="A326" s="4">
        <v>322</v>
      </c>
      <c r="B326" s="4" t="s">
        <v>1401</v>
      </c>
      <c r="C326" s="4" t="s">
        <v>600</v>
      </c>
      <c r="D326" s="4" t="s">
        <v>10</v>
      </c>
      <c r="E326" s="4" t="s">
        <v>330</v>
      </c>
      <c r="F326" s="4" t="s">
        <v>470</v>
      </c>
      <c r="G326" s="4" t="s">
        <v>965</v>
      </c>
      <c r="H326" s="26" t="s">
        <v>1254</v>
      </c>
      <c r="I326" s="4" t="s">
        <v>13</v>
      </c>
      <c r="J326" s="4" t="s">
        <v>926</v>
      </c>
      <c r="K326" s="4" t="s">
        <v>125</v>
      </c>
    </row>
    <row r="327" spans="1:11" x14ac:dyDescent="0.3">
      <c r="A327" s="4">
        <v>323</v>
      </c>
      <c r="B327" s="4" t="s">
        <v>1402</v>
      </c>
      <c r="C327" s="4" t="s">
        <v>601</v>
      </c>
      <c r="D327" s="4" t="s">
        <v>10</v>
      </c>
      <c r="E327" s="4" t="s">
        <v>330</v>
      </c>
      <c r="F327" s="4" t="s">
        <v>337</v>
      </c>
      <c r="G327" s="4" t="s">
        <v>1205</v>
      </c>
      <c r="H327" s="26" t="s">
        <v>1169</v>
      </c>
      <c r="I327" s="4" t="s">
        <v>13</v>
      </c>
      <c r="J327" s="4" t="s">
        <v>926</v>
      </c>
      <c r="K327" s="4" t="s">
        <v>165</v>
      </c>
    </row>
    <row r="328" spans="1:11" x14ac:dyDescent="0.3">
      <c r="A328" s="4">
        <v>324</v>
      </c>
      <c r="B328" s="4" t="s">
        <v>1403</v>
      </c>
      <c r="C328" s="4" t="s">
        <v>602</v>
      </c>
      <c r="D328" s="4" t="s">
        <v>10</v>
      </c>
      <c r="E328" s="4" t="s">
        <v>330</v>
      </c>
      <c r="F328" s="4" t="s">
        <v>603</v>
      </c>
      <c r="G328" s="4" t="s">
        <v>999</v>
      </c>
      <c r="H328" s="26" t="s">
        <v>1191</v>
      </c>
      <c r="I328" s="4" t="s">
        <v>13</v>
      </c>
      <c r="J328" s="4" t="s">
        <v>926</v>
      </c>
      <c r="K328" s="4" t="s">
        <v>20</v>
      </c>
    </row>
    <row r="329" spans="1:11" x14ac:dyDescent="0.3">
      <c r="A329" s="5">
        <v>325</v>
      </c>
      <c r="B329" s="5" t="s">
        <v>1404</v>
      </c>
      <c r="C329" s="5" t="s">
        <v>604</v>
      </c>
      <c r="D329" s="5" t="s">
        <v>10</v>
      </c>
      <c r="E329" s="5" t="s">
        <v>330</v>
      </c>
      <c r="F329" s="5" t="s">
        <v>455</v>
      </c>
      <c r="G329" s="5" t="s">
        <v>1362</v>
      </c>
      <c r="H329" s="27" t="s">
        <v>1169</v>
      </c>
      <c r="I329" s="5" t="s">
        <v>13</v>
      </c>
      <c r="J329" s="5" t="s">
        <v>925</v>
      </c>
      <c r="K329" s="5" t="s">
        <v>224</v>
      </c>
    </row>
    <row r="330" spans="1:11" x14ac:dyDescent="0.3">
      <c r="A330" s="4">
        <v>326</v>
      </c>
      <c r="B330" s="4" t="s">
        <v>1405</v>
      </c>
      <c r="C330" s="4" t="s">
        <v>605</v>
      </c>
      <c r="D330" s="4" t="s">
        <v>10</v>
      </c>
      <c r="E330" s="4" t="s">
        <v>330</v>
      </c>
      <c r="F330" s="4" t="s">
        <v>461</v>
      </c>
      <c r="G330" s="4" t="s">
        <v>1406</v>
      </c>
      <c r="H330" s="26" t="s">
        <v>1190</v>
      </c>
      <c r="I330" s="4" t="s">
        <v>13</v>
      </c>
      <c r="J330" s="4" t="s">
        <v>926</v>
      </c>
      <c r="K330" s="4" t="s">
        <v>165</v>
      </c>
    </row>
    <row r="331" spans="1:11" x14ac:dyDescent="0.3">
      <c r="A331" s="3">
        <v>327</v>
      </c>
      <c r="B331" s="3" t="s">
        <v>1407</v>
      </c>
      <c r="C331" s="3" t="s">
        <v>119</v>
      </c>
      <c r="D331" s="3" t="s">
        <v>10</v>
      </c>
      <c r="E331" s="3" t="s">
        <v>330</v>
      </c>
      <c r="F331" s="3" t="s">
        <v>530</v>
      </c>
      <c r="G331" s="3" t="s">
        <v>1408</v>
      </c>
      <c r="H331" s="25" t="s">
        <v>1195</v>
      </c>
      <c r="I331" s="3" t="s">
        <v>13</v>
      </c>
      <c r="J331" s="3" t="s">
        <v>927</v>
      </c>
      <c r="K331" s="3" t="s">
        <v>43</v>
      </c>
    </row>
    <row r="332" spans="1:11" x14ac:dyDescent="0.3">
      <c r="A332" s="3">
        <v>328</v>
      </c>
      <c r="B332" s="3" t="s">
        <v>1409</v>
      </c>
      <c r="C332" s="3" t="s">
        <v>606</v>
      </c>
      <c r="D332" s="3" t="s">
        <v>10</v>
      </c>
      <c r="E332" s="3" t="s">
        <v>330</v>
      </c>
      <c r="F332" s="3" t="s">
        <v>347</v>
      </c>
      <c r="G332" s="3" t="s">
        <v>1398</v>
      </c>
      <c r="H332" s="25" t="s">
        <v>1191</v>
      </c>
      <c r="I332" s="3" t="s">
        <v>13</v>
      </c>
      <c r="J332" s="3" t="s">
        <v>927</v>
      </c>
      <c r="K332" s="3" t="s">
        <v>14</v>
      </c>
    </row>
    <row r="333" spans="1:11" x14ac:dyDescent="0.3">
      <c r="A333" s="4">
        <v>329</v>
      </c>
      <c r="B333" s="4" t="s">
        <v>1410</v>
      </c>
      <c r="C333" s="4" t="s">
        <v>607</v>
      </c>
      <c r="D333" s="4" t="s">
        <v>10</v>
      </c>
      <c r="E333" s="4" t="s">
        <v>330</v>
      </c>
      <c r="F333" s="4" t="s">
        <v>455</v>
      </c>
      <c r="G333" s="4" t="s">
        <v>1411</v>
      </c>
      <c r="H333" s="26" t="s">
        <v>1169</v>
      </c>
      <c r="I333" s="4" t="s">
        <v>13</v>
      </c>
      <c r="J333" s="4" t="s">
        <v>926</v>
      </c>
      <c r="K333" s="4" t="s">
        <v>20</v>
      </c>
    </row>
    <row r="334" spans="1:11" x14ac:dyDescent="0.3">
      <c r="A334" s="6">
        <v>330</v>
      </c>
      <c r="B334" s="6" t="s">
        <v>1412</v>
      </c>
      <c r="C334" s="6" t="s">
        <v>608</v>
      </c>
      <c r="D334" s="6" t="s">
        <v>10</v>
      </c>
      <c r="E334" s="6" t="s">
        <v>330</v>
      </c>
      <c r="F334" s="6" t="s">
        <v>331</v>
      </c>
      <c r="G334" s="6" t="s">
        <v>1040</v>
      </c>
      <c r="H334" s="28" t="s">
        <v>1164</v>
      </c>
      <c r="I334" s="6" t="s">
        <v>13</v>
      </c>
      <c r="J334" s="6" t="s">
        <v>928</v>
      </c>
      <c r="K334" s="6" t="s">
        <v>58</v>
      </c>
    </row>
    <row r="335" spans="1:11" x14ac:dyDescent="0.3">
      <c r="A335" s="4">
        <v>331</v>
      </c>
      <c r="B335" s="4" t="s">
        <v>1413</v>
      </c>
      <c r="C335" s="4" t="s">
        <v>609</v>
      </c>
      <c r="D335" s="4" t="s">
        <v>10</v>
      </c>
      <c r="E335" s="4" t="s">
        <v>330</v>
      </c>
      <c r="F335" s="4" t="s">
        <v>610</v>
      </c>
      <c r="G335" s="4" t="s">
        <v>1065</v>
      </c>
      <c r="H335" s="26" t="s">
        <v>1191</v>
      </c>
      <c r="I335" s="4" t="s">
        <v>13</v>
      </c>
      <c r="J335" s="4" t="s">
        <v>926</v>
      </c>
      <c r="K335" s="4" t="s">
        <v>224</v>
      </c>
    </row>
    <row r="336" spans="1:11" x14ac:dyDescent="0.3">
      <c r="A336" s="4">
        <v>332</v>
      </c>
      <c r="B336" s="4" t="s">
        <v>1414</v>
      </c>
      <c r="C336" s="4" t="s">
        <v>611</v>
      </c>
      <c r="D336" s="4" t="s">
        <v>10</v>
      </c>
      <c r="E336" s="4" t="s">
        <v>330</v>
      </c>
      <c r="F336" s="4" t="s">
        <v>339</v>
      </c>
      <c r="G336" s="4" t="s">
        <v>955</v>
      </c>
      <c r="H336" s="26" t="s">
        <v>1169</v>
      </c>
      <c r="I336" s="4" t="s">
        <v>13</v>
      </c>
      <c r="J336" s="4" t="s">
        <v>926</v>
      </c>
      <c r="K336" s="4" t="s">
        <v>20</v>
      </c>
    </row>
    <row r="337" spans="1:11" x14ac:dyDescent="0.3">
      <c r="A337" s="6">
        <v>333</v>
      </c>
      <c r="B337" s="6" t="s">
        <v>1415</v>
      </c>
      <c r="C337" s="6" t="s">
        <v>612</v>
      </c>
      <c r="D337" s="6" t="s">
        <v>10</v>
      </c>
      <c r="E337" s="6" t="s">
        <v>330</v>
      </c>
      <c r="F337" s="6" t="s">
        <v>613</v>
      </c>
      <c r="G337" s="6" t="s">
        <v>1340</v>
      </c>
      <c r="H337" s="28" t="s">
        <v>1185</v>
      </c>
      <c r="I337" s="6" t="s">
        <v>13</v>
      </c>
      <c r="J337" s="6" t="s">
        <v>928</v>
      </c>
      <c r="K337" s="6" t="s">
        <v>205</v>
      </c>
    </row>
    <row r="338" spans="1:11" x14ac:dyDescent="0.3">
      <c r="A338" s="4">
        <v>334</v>
      </c>
      <c r="B338" s="4" t="s">
        <v>1416</v>
      </c>
      <c r="C338" s="4" t="s">
        <v>614</v>
      </c>
      <c r="D338" s="4" t="s">
        <v>10</v>
      </c>
      <c r="E338" s="4" t="s">
        <v>330</v>
      </c>
      <c r="F338" s="4" t="s">
        <v>422</v>
      </c>
      <c r="G338" s="4" t="s">
        <v>953</v>
      </c>
      <c r="H338" s="26" t="s">
        <v>1185</v>
      </c>
      <c r="I338" s="4" t="s">
        <v>13</v>
      </c>
      <c r="J338" s="4" t="s">
        <v>926</v>
      </c>
      <c r="K338" s="4" t="s">
        <v>20</v>
      </c>
    </row>
    <row r="339" spans="1:11" x14ac:dyDescent="0.3">
      <c r="A339" s="4">
        <v>335</v>
      </c>
      <c r="B339" s="4" t="s">
        <v>1417</v>
      </c>
      <c r="C339" s="4" t="s">
        <v>615</v>
      </c>
      <c r="D339" s="4" t="s">
        <v>10</v>
      </c>
      <c r="E339" s="4" t="s">
        <v>330</v>
      </c>
      <c r="F339" s="4" t="s">
        <v>374</v>
      </c>
      <c r="G339" s="4" t="s">
        <v>1040</v>
      </c>
      <c r="H339" s="26" t="s">
        <v>1169</v>
      </c>
      <c r="I339" s="4" t="s">
        <v>13</v>
      </c>
      <c r="J339" s="4" t="s">
        <v>926</v>
      </c>
      <c r="K339" s="4" t="s">
        <v>14</v>
      </c>
    </row>
    <row r="340" spans="1:11" x14ac:dyDescent="0.3">
      <c r="A340" s="4">
        <v>336</v>
      </c>
      <c r="B340" s="4" t="s">
        <v>1418</v>
      </c>
      <c r="C340" s="4" t="s">
        <v>616</v>
      </c>
      <c r="D340" s="4" t="s">
        <v>10</v>
      </c>
      <c r="E340" s="4" t="s">
        <v>330</v>
      </c>
      <c r="F340" s="4" t="s">
        <v>347</v>
      </c>
      <c r="G340" s="4" t="s">
        <v>1232</v>
      </c>
      <c r="H340" s="26" t="s">
        <v>1191</v>
      </c>
      <c r="I340" s="4" t="s">
        <v>13</v>
      </c>
      <c r="J340" s="4" t="s">
        <v>926</v>
      </c>
      <c r="K340" s="4" t="s">
        <v>20</v>
      </c>
    </row>
    <row r="341" spans="1:11" x14ac:dyDescent="0.3">
      <c r="A341" s="4">
        <v>337</v>
      </c>
      <c r="B341" s="4" t="s">
        <v>1419</v>
      </c>
      <c r="C341" s="4" t="s">
        <v>617</v>
      </c>
      <c r="D341" s="4" t="s">
        <v>10</v>
      </c>
      <c r="E341" s="4" t="s">
        <v>330</v>
      </c>
      <c r="F341" s="4" t="s">
        <v>618</v>
      </c>
      <c r="G341" s="4" t="s">
        <v>982</v>
      </c>
      <c r="H341" s="26" t="s">
        <v>1176</v>
      </c>
      <c r="I341" s="4" t="s">
        <v>13</v>
      </c>
      <c r="J341" s="4" t="s">
        <v>926</v>
      </c>
      <c r="K341" s="4" t="s">
        <v>20</v>
      </c>
    </row>
    <row r="342" spans="1:11" x14ac:dyDescent="0.3">
      <c r="A342" s="4">
        <v>338</v>
      </c>
      <c r="B342" s="4" t="s">
        <v>1420</v>
      </c>
      <c r="C342" s="4" t="s">
        <v>619</v>
      </c>
      <c r="D342" s="4" t="s">
        <v>10</v>
      </c>
      <c r="E342" s="4" t="s">
        <v>330</v>
      </c>
      <c r="F342" s="4" t="s">
        <v>620</v>
      </c>
      <c r="G342" s="4" t="s">
        <v>1040</v>
      </c>
      <c r="H342" s="26" t="s">
        <v>1167</v>
      </c>
      <c r="I342" s="4" t="s">
        <v>13</v>
      </c>
      <c r="J342" s="4" t="s">
        <v>926</v>
      </c>
      <c r="K342" s="4" t="s">
        <v>224</v>
      </c>
    </row>
    <row r="343" spans="1:11" x14ac:dyDescent="0.3">
      <c r="A343" s="5">
        <v>339</v>
      </c>
      <c r="B343" s="5" t="s">
        <v>1421</v>
      </c>
      <c r="C343" s="5" t="s">
        <v>621</v>
      </c>
      <c r="D343" s="5" t="s">
        <v>10</v>
      </c>
      <c r="E343" s="5" t="s">
        <v>330</v>
      </c>
      <c r="F343" s="5" t="s">
        <v>622</v>
      </c>
      <c r="G343" s="5" t="s">
        <v>1045</v>
      </c>
      <c r="H343" s="27" t="s">
        <v>1196</v>
      </c>
      <c r="I343" s="5" t="s">
        <v>13</v>
      </c>
      <c r="J343" s="5" t="s">
        <v>925</v>
      </c>
      <c r="K343" s="5" t="s">
        <v>14</v>
      </c>
    </row>
    <row r="344" spans="1:11" x14ac:dyDescent="0.3">
      <c r="A344" s="4">
        <v>340</v>
      </c>
      <c r="B344" s="4" t="s">
        <v>1422</v>
      </c>
      <c r="C344" s="4" t="s">
        <v>623</v>
      </c>
      <c r="D344" s="4" t="s">
        <v>10</v>
      </c>
      <c r="E344" s="4" t="s">
        <v>330</v>
      </c>
      <c r="F344" s="4" t="s">
        <v>464</v>
      </c>
      <c r="G344" s="4" t="s">
        <v>1136</v>
      </c>
      <c r="H344" s="26" t="s">
        <v>1169</v>
      </c>
      <c r="I344" s="4" t="s">
        <v>13</v>
      </c>
      <c r="J344" s="4" t="s">
        <v>926</v>
      </c>
      <c r="K344" s="4" t="s">
        <v>14</v>
      </c>
    </row>
    <row r="345" spans="1:11" x14ac:dyDescent="0.3">
      <c r="A345" s="4">
        <v>341</v>
      </c>
      <c r="B345" s="4" t="s">
        <v>1423</v>
      </c>
      <c r="C345" s="4" t="s">
        <v>624</v>
      </c>
      <c r="D345" s="4" t="s">
        <v>10</v>
      </c>
      <c r="E345" s="4" t="s">
        <v>330</v>
      </c>
      <c r="F345" s="4" t="s">
        <v>625</v>
      </c>
      <c r="G345" s="4" t="s">
        <v>1056</v>
      </c>
      <c r="H345" s="26" t="s">
        <v>1169</v>
      </c>
      <c r="I345" s="4" t="s">
        <v>13</v>
      </c>
      <c r="J345" s="4" t="s">
        <v>926</v>
      </c>
      <c r="K345" s="4" t="s">
        <v>14</v>
      </c>
    </row>
    <row r="346" spans="1:11" x14ac:dyDescent="0.3">
      <c r="A346" s="4">
        <v>342</v>
      </c>
      <c r="B346" s="4" t="s">
        <v>1424</v>
      </c>
      <c r="C346" s="4" t="s">
        <v>626</v>
      </c>
      <c r="D346" s="4" t="s">
        <v>10</v>
      </c>
      <c r="E346" s="4" t="s">
        <v>330</v>
      </c>
      <c r="F346" s="4" t="s">
        <v>370</v>
      </c>
      <c r="G346" s="4" t="s">
        <v>1425</v>
      </c>
      <c r="H346" s="26" t="s">
        <v>1164</v>
      </c>
      <c r="I346" s="4" t="s">
        <v>13</v>
      </c>
      <c r="J346" s="4" t="s">
        <v>926</v>
      </c>
      <c r="K346" s="4" t="s">
        <v>224</v>
      </c>
    </row>
    <row r="347" spans="1:11" x14ac:dyDescent="0.3">
      <c r="A347" s="4">
        <v>343</v>
      </c>
      <c r="B347" s="4" t="s">
        <v>1426</v>
      </c>
      <c r="C347" s="4" t="s">
        <v>627</v>
      </c>
      <c r="D347" s="4" t="s">
        <v>10</v>
      </c>
      <c r="E347" s="4" t="s">
        <v>330</v>
      </c>
      <c r="F347" s="4" t="s">
        <v>370</v>
      </c>
      <c r="G347" s="4" t="s">
        <v>942</v>
      </c>
      <c r="H347" s="26" t="s">
        <v>1164</v>
      </c>
      <c r="I347" s="4" t="s">
        <v>13</v>
      </c>
      <c r="J347" s="4" t="s">
        <v>926</v>
      </c>
      <c r="K347" s="4" t="s">
        <v>43</v>
      </c>
    </row>
    <row r="348" spans="1:11" x14ac:dyDescent="0.3">
      <c r="A348" s="5">
        <v>344</v>
      </c>
      <c r="B348" s="5" t="s">
        <v>1427</v>
      </c>
      <c r="C348" s="5" t="s">
        <v>628</v>
      </c>
      <c r="D348" s="5" t="s">
        <v>10</v>
      </c>
      <c r="E348" s="5" t="s">
        <v>330</v>
      </c>
      <c r="F348" s="5" t="s">
        <v>422</v>
      </c>
      <c r="G348" s="5" t="s">
        <v>1112</v>
      </c>
      <c r="H348" s="27" t="s">
        <v>1185</v>
      </c>
      <c r="I348" s="5" t="s">
        <v>13</v>
      </c>
      <c r="J348" s="5" t="s">
        <v>925</v>
      </c>
      <c r="K348" s="5" t="s">
        <v>14</v>
      </c>
    </row>
    <row r="349" spans="1:11" x14ac:dyDescent="0.3">
      <c r="A349" s="4">
        <v>345</v>
      </c>
      <c r="B349" s="4" t="s">
        <v>1428</v>
      </c>
      <c r="C349" s="4" t="s">
        <v>629</v>
      </c>
      <c r="D349" s="4" t="s">
        <v>10</v>
      </c>
      <c r="E349" s="4" t="s">
        <v>330</v>
      </c>
      <c r="F349" s="4" t="s">
        <v>630</v>
      </c>
      <c r="G349" s="4" t="s">
        <v>946</v>
      </c>
      <c r="H349" s="26" t="s">
        <v>1198</v>
      </c>
      <c r="I349" s="4" t="s">
        <v>13</v>
      </c>
      <c r="J349" s="4" t="s">
        <v>926</v>
      </c>
      <c r="K349" s="4" t="s">
        <v>165</v>
      </c>
    </row>
    <row r="350" spans="1:11" x14ac:dyDescent="0.3">
      <c r="A350" s="5">
        <v>346</v>
      </c>
      <c r="B350" s="5" t="s">
        <v>1429</v>
      </c>
      <c r="C350" s="5" t="s">
        <v>631</v>
      </c>
      <c r="D350" s="5" t="s">
        <v>10</v>
      </c>
      <c r="E350" s="5" t="s">
        <v>330</v>
      </c>
      <c r="F350" s="5" t="s">
        <v>632</v>
      </c>
      <c r="G350" s="5" t="s">
        <v>1014</v>
      </c>
      <c r="H350" s="27" t="s">
        <v>1430</v>
      </c>
      <c r="I350" s="5" t="s">
        <v>13</v>
      </c>
      <c r="J350" s="5" t="s">
        <v>925</v>
      </c>
      <c r="K350" s="5" t="s">
        <v>205</v>
      </c>
    </row>
    <row r="351" spans="1:11" x14ac:dyDescent="0.3">
      <c r="A351" s="4">
        <v>347</v>
      </c>
      <c r="B351" s="4" t="s">
        <v>1431</v>
      </c>
      <c r="C351" s="4" t="s">
        <v>633</v>
      </c>
      <c r="D351" s="4" t="s">
        <v>10</v>
      </c>
      <c r="E351" s="4" t="s">
        <v>330</v>
      </c>
      <c r="F351" s="4" t="s">
        <v>530</v>
      </c>
      <c r="G351" s="4" t="s">
        <v>1432</v>
      </c>
      <c r="H351" s="26" t="s">
        <v>1195</v>
      </c>
      <c r="I351" s="4" t="s">
        <v>13</v>
      </c>
      <c r="J351" s="4" t="s">
        <v>926</v>
      </c>
      <c r="K351" s="4" t="s">
        <v>14</v>
      </c>
    </row>
    <row r="352" spans="1:11" x14ac:dyDescent="0.3">
      <c r="A352" s="4">
        <v>348</v>
      </c>
      <c r="B352" s="4" t="s">
        <v>1433</v>
      </c>
      <c r="C352" s="4" t="s">
        <v>634</v>
      </c>
      <c r="D352" s="4" t="s">
        <v>10</v>
      </c>
      <c r="E352" s="4" t="s">
        <v>330</v>
      </c>
      <c r="F352" s="4" t="s">
        <v>505</v>
      </c>
      <c r="G352" s="4" t="s">
        <v>1434</v>
      </c>
      <c r="H352" s="26" t="s">
        <v>1169</v>
      </c>
      <c r="I352" s="4" t="s">
        <v>13</v>
      </c>
      <c r="J352" s="4" t="s">
        <v>926</v>
      </c>
      <c r="K352" s="4" t="s">
        <v>20</v>
      </c>
    </row>
    <row r="353" spans="1:11" x14ac:dyDescent="0.3">
      <c r="A353" s="5">
        <v>349</v>
      </c>
      <c r="B353" s="5" t="s">
        <v>1433</v>
      </c>
      <c r="C353" s="5" t="s">
        <v>635</v>
      </c>
      <c r="D353" s="5" t="s">
        <v>10</v>
      </c>
      <c r="E353" s="5" t="s">
        <v>330</v>
      </c>
      <c r="F353" s="5" t="s">
        <v>426</v>
      </c>
      <c r="G353" s="5" t="s">
        <v>944</v>
      </c>
      <c r="H353" s="27" t="s">
        <v>1190</v>
      </c>
      <c r="I353" s="5" t="s">
        <v>13</v>
      </c>
      <c r="J353" s="5" t="s">
        <v>925</v>
      </c>
      <c r="K353" s="5" t="s">
        <v>58</v>
      </c>
    </row>
    <row r="354" spans="1:11" x14ac:dyDescent="0.3">
      <c r="A354" s="4">
        <v>350</v>
      </c>
      <c r="B354" s="4" t="s">
        <v>1435</v>
      </c>
      <c r="C354" s="4" t="s">
        <v>636</v>
      </c>
      <c r="D354" s="4" t="s">
        <v>10</v>
      </c>
      <c r="E354" s="4" t="s">
        <v>330</v>
      </c>
      <c r="F354" s="4" t="s">
        <v>637</v>
      </c>
      <c r="G354" s="4" t="s">
        <v>1436</v>
      </c>
      <c r="H354" s="26" t="s">
        <v>1183</v>
      </c>
      <c r="I354" s="4" t="s">
        <v>13</v>
      </c>
      <c r="J354" s="4" t="s">
        <v>926</v>
      </c>
      <c r="K354" s="4" t="s">
        <v>342</v>
      </c>
    </row>
    <row r="355" spans="1:11" x14ac:dyDescent="0.3">
      <c r="A355" s="5">
        <v>351</v>
      </c>
      <c r="B355" s="5" t="s">
        <v>1437</v>
      </c>
      <c r="C355" s="5" t="s">
        <v>638</v>
      </c>
      <c r="D355" s="5" t="s">
        <v>10</v>
      </c>
      <c r="E355" s="5" t="s">
        <v>330</v>
      </c>
      <c r="F355" s="5" t="s">
        <v>552</v>
      </c>
      <c r="G355" s="5" t="s">
        <v>1323</v>
      </c>
      <c r="H355" s="27" t="s">
        <v>1185</v>
      </c>
      <c r="I355" s="5" t="s">
        <v>13</v>
      </c>
      <c r="J355" s="5" t="s">
        <v>925</v>
      </c>
      <c r="K355" s="5" t="s">
        <v>398</v>
      </c>
    </row>
    <row r="356" spans="1:11" x14ac:dyDescent="0.3">
      <c r="A356" s="4">
        <v>352</v>
      </c>
      <c r="B356" s="4" t="s">
        <v>1438</v>
      </c>
      <c r="C356" s="4" t="s">
        <v>639</v>
      </c>
      <c r="D356" s="4" t="s">
        <v>10</v>
      </c>
      <c r="E356" s="4" t="s">
        <v>330</v>
      </c>
      <c r="F356" s="4" t="s">
        <v>640</v>
      </c>
      <c r="G356" s="4" t="s">
        <v>965</v>
      </c>
      <c r="H356" s="26" t="s">
        <v>1287</v>
      </c>
      <c r="I356" s="4" t="s">
        <v>13</v>
      </c>
      <c r="J356" s="4" t="s">
        <v>926</v>
      </c>
      <c r="K356" s="4" t="s">
        <v>14</v>
      </c>
    </row>
    <row r="357" spans="1:11" x14ac:dyDescent="0.3">
      <c r="A357" s="4">
        <v>353</v>
      </c>
      <c r="B357" s="4" t="s">
        <v>1439</v>
      </c>
      <c r="C357" s="4" t="s">
        <v>641</v>
      </c>
      <c r="D357" s="4" t="s">
        <v>10</v>
      </c>
      <c r="E357" s="4" t="s">
        <v>330</v>
      </c>
      <c r="F357" s="4" t="s">
        <v>503</v>
      </c>
      <c r="G357" s="4" t="s">
        <v>1003</v>
      </c>
      <c r="H357" s="26" t="s">
        <v>1254</v>
      </c>
      <c r="I357" s="4" t="s">
        <v>13</v>
      </c>
      <c r="J357" s="4" t="s">
        <v>926</v>
      </c>
      <c r="K357" s="4" t="s">
        <v>20</v>
      </c>
    </row>
    <row r="358" spans="1:11" x14ac:dyDescent="0.3">
      <c r="A358" s="4">
        <v>354</v>
      </c>
      <c r="B358" s="4" t="s">
        <v>1440</v>
      </c>
      <c r="C358" s="4" t="s">
        <v>642</v>
      </c>
      <c r="D358" s="4" t="s">
        <v>10</v>
      </c>
      <c r="E358" s="4" t="s">
        <v>330</v>
      </c>
      <c r="F358" s="4" t="s">
        <v>643</v>
      </c>
      <c r="G358" s="4" t="s">
        <v>1441</v>
      </c>
      <c r="H358" s="26" t="s">
        <v>1190</v>
      </c>
      <c r="I358" s="4" t="s">
        <v>13</v>
      </c>
      <c r="J358" s="4" t="s">
        <v>926</v>
      </c>
      <c r="K358" s="4" t="s">
        <v>14</v>
      </c>
    </row>
    <row r="359" spans="1:11" x14ac:dyDescent="0.3">
      <c r="A359" s="4">
        <v>355</v>
      </c>
      <c r="B359" s="4" t="s">
        <v>1442</v>
      </c>
      <c r="C359" s="4" t="s">
        <v>644</v>
      </c>
      <c r="D359" s="4" t="s">
        <v>10</v>
      </c>
      <c r="E359" s="4" t="s">
        <v>330</v>
      </c>
      <c r="F359" s="4" t="s">
        <v>256</v>
      </c>
      <c r="G359" s="4" t="s">
        <v>982</v>
      </c>
      <c r="H359" s="26" t="s">
        <v>1185</v>
      </c>
      <c r="I359" s="4" t="s">
        <v>13</v>
      </c>
      <c r="J359" s="4" t="s">
        <v>926</v>
      </c>
      <c r="K359" s="4" t="s">
        <v>43</v>
      </c>
    </row>
    <row r="360" spans="1:11" x14ac:dyDescent="0.3">
      <c r="A360" s="4">
        <v>356</v>
      </c>
      <c r="B360" s="4" t="s">
        <v>1443</v>
      </c>
      <c r="C360" s="4" t="s">
        <v>645</v>
      </c>
      <c r="D360" s="4" t="s">
        <v>10</v>
      </c>
      <c r="E360" s="4" t="s">
        <v>330</v>
      </c>
      <c r="F360" s="4" t="s">
        <v>333</v>
      </c>
      <c r="G360" s="4" t="s">
        <v>1095</v>
      </c>
      <c r="H360" s="26" t="s">
        <v>1167</v>
      </c>
      <c r="I360" s="4" t="s">
        <v>13</v>
      </c>
      <c r="J360" s="4" t="s">
        <v>926</v>
      </c>
      <c r="K360" s="4" t="s">
        <v>58</v>
      </c>
    </row>
    <row r="361" spans="1:11" x14ac:dyDescent="0.3">
      <c r="A361" s="5">
        <v>357</v>
      </c>
      <c r="B361" s="5" t="s">
        <v>1444</v>
      </c>
      <c r="C361" s="5" t="s">
        <v>383</v>
      </c>
      <c r="D361" s="5" t="s">
        <v>10</v>
      </c>
      <c r="E361" s="5" t="s">
        <v>330</v>
      </c>
      <c r="F361" s="5" t="s">
        <v>335</v>
      </c>
      <c r="G361" s="5" t="s">
        <v>1099</v>
      </c>
      <c r="H361" s="27" t="s">
        <v>1169</v>
      </c>
      <c r="I361" s="5" t="s">
        <v>13</v>
      </c>
      <c r="J361" s="5" t="s">
        <v>925</v>
      </c>
      <c r="K361" s="5" t="s">
        <v>70</v>
      </c>
    </row>
    <row r="362" spans="1:11" x14ac:dyDescent="0.3">
      <c r="A362" s="4">
        <v>358</v>
      </c>
      <c r="B362" s="4" t="s">
        <v>1445</v>
      </c>
      <c r="C362" s="4" t="s">
        <v>646</v>
      </c>
      <c r="D362" s="4" t="s">
        <v>10</v>
      </c>
      <c r="E362" s="4" t="s">
        <v>330</v>
      </c>
      <c r="F362" s="4" t="s">
        <v>344</v>
      </c>
      <c r="G362" s="4" t="s">
        <v>1095</v>
      </c>
      <c r="H362" s="26" t="s">
        <v>1164</v>
      </c>
      <c r="I362" s="4" t="s">
        <v>13</v>
      </c>
      <c r="J362" s="4" t="s">
        <v>926</v>
      </c>
      <c r="K362" s="4" t="s">
        <v>165</v>
      </c>
    </row>
    <row r="363" spans="1:11" x14ac:dyDescent="0.3">
      <c r="A363" s="4">
        <v>359</v>
      </c>
      <c r="B363" s="4" t="s">
        <v>1446</v>
      </c>
      <c r="C363" s="4" t="s">
        <v>647</v>
      </c>
      <c r="D363" s="4" t="s">
        <v>10</v>
      </c>
      <c r="E363" s="4" t="s">
        <v>330</v>
      </c>
      <c r="F363" s="4" t="s">
        <v>648</v>
      </c>
      <c r="G363" s="4" t="s">
        <v>1095</v>
      </c>
      <c r="H363" s="26" t="s">
        <v>1167</v>
      </c>
      <c r="I363" s="4" t="s">
        <v>13</v>
      </c>
      <c r="J363" s="4" t="s">
        <v>926</v>
      </c>
      <c r="K363" s="4" t="s">
        <v>43</v>
      </c>
    </row>
    <row r="364" spans="1:11" x14ac:dyDescent="0.3">
      <c r="A364" s="4">
        <v>360</v>
      </c>
      <c r="B364" s="4" t="s">
        <v>1447</v>
      </c>
      <c r="C364" s="4" t="s">
        <v>649</v>
      </c>
      <c r="D364" s="4" t="s">
        <v>10</v>
      </c>
      <c r="E364" s="4" t="s">
        <v>330</v>
      </c>
      <c r="F364" s="4" t="s">
        <v>339</v>
      </c>
      <c r="G364" s="4" t="s">
        <v>1085</v>
      </c>
      <c r="H364" s="26" t="s">
        <v>1169</v>
      </c>
      <c r="I364" s="4" t="s">
        <v>13</v>
      </c>
      <c r="J364" s="4" t="s">
        <v>926</v>
      </c>
      <c r="K364" s="4" t="s">
        <v>14</v>
      </c>
    </row>
    <row r="365" spans="1:11" x14ac:dyDescent="0.3">
      <c r="A365" s="4">
        <v>361</v>
      </c>
      <c r="B365" s="4" t="s">
        <v>1448</v>
      </c>
      <c r="C365" s="4" t="s">
        <v>650</v>
      </c>
      <c r="D365" s="4" t="s">
        <v>10</v>
      </c>
      <c r="E365" s="4" t="s">
        <v>330</v>
      </c>
      <c r="F365" s="4" t="s">
        <v>651</v>
      </c>
      <c r="G365" s="4" t="s">
        <v>1449</v>
      </c>
      <c r="H365" s="26" t="s">
        <v>1169</v>
      </c>
      <c r="I365" s="4" t="s">
        <v>13</v>
      </c>
      <c r="J365" s="4" t="s">
        <v>926</v>
      </c>
      <c r="K365" s="4" t="s">
        <v>165</v>
      </c>
    </row>
    <row r="366" spans="1:11" x14ac:dyDescent="0.3">
      <c r="A366" s="5">
        <v>362</v>
      </c>
      <c r="B366" s="5" t="s">
        <v>1450</v>
      </c>
      <c r="C366" s="5" t="s">
        <v>652</v>
      </c>
      <c r="D366" s="5" t="s">
        <v>10</v>
      </c>
      <c r="E366" s="5" t="s">
        <v>330</v>
      </c>
      <c r="F366" s="5" t="s">
        <v>344</v>
      </c>
      <c r="G366" s="5" t="s">
        <v>1029</v>
      </c>
      <c r="H366" s="27" t="s">
        <v>1164</v>
      </c>
      <c r="I366" s="5" t="s">
        <v>13</v>
      </c>
      <c r="J366" s="5" t="s">
        <v>925</v>
      </c>
      <c r="K366" s="5" t="s">
        <v>14</v>
      </c>
    </row>
    <row r="367" spans="1:11" x14ac:dyDescent="0.3">
      <c r="A367" s="5">
        <v>363</v>
      </c>
      <c r="B367" s="5" t="s">
        <v>1451</v>
      </c>
      <c r="C367" s="5" t="s">
        <v>653</v>
      </c>
      <c r="D367" s="5" t="s">
        <v>10</v>
      </c>
      <c r="E367" s="5" t="s">
        <v>330</v>
      </c>
      <c r="F367" s="5" t="s">
        <v>654</v>
      </c>
      <c r="G367" s="5" t="s">
        <v>1452</v>
      </c>
      <c r="H367" s="27" t="s">
        <v>1262</v>
      </c>
      <c r="I367" s="5" t="s">
        <v>13</v>
      </c>
      <c r="J367" s="5" t="s">
        <v>925</v>
      </c>
      <c r="K367" s="5" t="s">
        <v>235</v>
      </c>
    </row>
    <row r="368" spans="1:11" x14ac:dyDescent="0.3">
      <c r="A368" s="6">
        <v>364</v>
      </c>
      <c r="B368" s="6" t="s">
        <v>1453</v>
      </c>
      <c r="C368" s="6" t="s">
        <v>655</v>
      </c>
      <c r="D368" s="6" t="s">
        <v>10</v>
      </c>
      <c r="E368" s="6" t="s">
        <v>330</v>
      </c>
      <c r="F368" s="6" t="s">
        <v>335</v>
      </c>
      <c r="G368" s="6" t="s">
        <v>1079</v>
      </c>
      <c r="H368" s="28" t="s">
        <v>1169</v>
      </c>
      <c r="I368" s="6" t="s">
        <v>13</v>
      </c>
      <c r="J368" s="6" t="s">
        <v>928</v>
      </c>
      <c r="K368" s="6" t="s">
        <v>14</v>
      </c>
    </row>
    <row r="369" spans="1:11" x14ac:dyDescent="0.3">
      <c r="A369" s="5">
        <v>365</v>
      </c>
      <c r="B369" s="5" t="s">
        <v>1454</v>
      </c>
      <c r="C369" s="5" t="s">
        <v>656</v>
      </c>
      <c r="D369" s="5" t="s">
        <v>10</v>
      </c>
      <c r="E369" s="5" t="s">
        <v>330</v>
      </c>
      <c r="F369" s="5" t="s">
        <v>657</v>
      </c>
      <c r="G369" s="5" t="s">
        <v>1455</v>
      </c>
      <c r="H369" s="27" t="s">
        <v>1262</v>
      </c>
      <c r="I369" s="5" t="s">
        <v>13</v>
      </c>
      <c r="J369" s="5" t="s">
        <v>925</v>
      </c>
      <c r="K369" s="5" t="s">
        <v>27</v>
      </c>
    </row>
    <row r="370" spans="1:11" x14ac:dyDescent="0.3">
      <c r="A370" s="5">
        <v>366</v>
      </c>
      <c r="B370" s="5" t="s">
        <v>1456</v>
      </c>
      <c r="C370" s="5" t="s">
        <v>658</v>
      </c>
      <c r="D370" s="5" t="s">
        <v>10</v>
      </c>
      <c r="E370" s="5" t="s">
        <v>330</v>
      </c>
      <c r="F370" s="5" t="s">
        <v>659</v>
      </c>
      <c r="G370" s="5" t="s">
        <v>967</v>
      </c>
      <c r="H370" s="27" t="s">
        <v>1430</v>
      </c>
      <c r="I370" s="5" t="s">
        <v>13</v>
      </c>
      <c r="J370" s="5" t="s">
        <v>925</v>
      </c>
      <c r="K370" s="5" t="s">
        <v>70</v>
      </c>
    </row>
    <row r="371" spans="1:11" x14ac:dyDescent="0.3">
      <c r="A371" s="5">
        <v>367</v>
      </c>
      <c r="B371" s="5" t="s">
        <v>1457</v>
      </c>
      <c r="C371" s="5" t="s">
        <v>660</v>
      </c>
      <c r="D371" s="5" t="s">
        <v>10</v>
      </c>
      <c r="E371" s="5" t="s">
        <v>330</v>
      </c>
      <c r="F371" s="5" t="s">
        <v>542</v>
      </c>
      <c r="G371" s="5" t="s">
        <v>1458</v>
      </c>
      <c r="H371" s="27" t="s">
        <v>1164</v>
      </c>
      <c r="I371" s="5" t="s">
        <v>13</v>
      </c>
      <c r="J371" s="5" t="s">
        <v>925</v>
      </c>
      <c r="K371" s="5" t="s">
        <v>205</v>
      </c>
    </row>
    <row r="372" spans="1:11" x14ac:dyDescent="0.3">
      <c r="A372" s="5">
        <v>368</v>
      </c>
      <c r="B372" s="5" t="s">
        <v>1459</v>
      </c>
      <c r="C372" s="5" t="s">
        <v>661</v>
      </c>
      <c r="D372" s="5" t="s">
        <v>10</v>
      </c>
      <c r="E372" s="5" t="s">
        <v>330</v>
      </c>
      <c r="F372" s="5" t="s">
        <v>422</v>
      </c>
      <c r="G372" s="5" t="s">
        <v>1066</v>
      </c>
      <c r="H372" s="27" t="s">
        <v>1185</v>
      </c>
      <c r="I372" s="5" t="s">
        <v>13</v>
      </c>
      <c r="J372" s="5" t="s">
        <v>925</v>
      </c>
      <c r="K372" s="5" t="s">
        <v>14</v>
      </c>
    </row>
    <row r="373" spans="1:11" x14ac:dyDescent="0.3">
      <c r="A373" s="4">
        <v>369</v>
      </c>
      <c r="B373" s="4" t="s">
        <v>1460</v>
      </c>
      <c r="C373" s="4" t="s">
        <v>662</v>
      </c>
      <c r="D373" s="4" t="s">
        <v>10</v>
      </c>
      <c r="E373" s="4" t="s">
        <v>330</v>
      </c>
      <c r="F373" s="4" t="s">
        <v>349</v>
      </c>
      <c r="G373" s="4" t="s">
        <v>1461</v>
      </c>
      <c r="H373" s="26" t="s">
        <v>1183</v>
      </c>
      <c r="I373" s="4" t="s">
        <v>13</v>
      </c>
      <c r="J373" s="4" t="s">
        <v>926</v>
      </c>
      <c r="K373" s="4" t="s">
        <v>14</v>
      </c>
    </row>
    <row r="374" spans="1:11" x14ac:dyDescent="0.3">
      <c r="A374" s="4">
        <v>370</v>
      </c>
      <c r="B374" s="4" t="s">
        <v>1462</v>
      </c>
      <c r="C374" s="4" t="s">
        <v>663</v>
      </c>
      <c r="D374" s="4" t="s">
        <v>10</v>
      </c>
      <c r="E374" s="4" t="s">
        <v>330</v>
      </c>
      <c r="F374" s="4" t="s">
        <v>53</v>
      </c>
      <c r="G374" s="4" t="s">
        <v>1099</v>
      </c>
      <c r="H374" s="26" t="s">
        <v>1190</v>
      </c>
      <c r="I374" s="4" t="s">
        <v>13</v>
      </c>
      <c r="J374" s="4" t="s">
        <v>926</v>
      </c>
      <c r="K374" s="4" t="s">
        <v>43</v>
      </c>
    </row>
    <row r="375" spans="1:11" x14ac:dyDescent="0.3">
      <c r="A375" s="3">
        <v>371</v>
      </c>
      <c r="B375" s="3" t="s">
        <v>1463</v>
      </c>
      <c r="C375" s="3" t="s">
        <v>664</v>
      </c>
      <c r="D375" s="3" t="s">
        <v>10</v>
      </c>
      <c r="E375" s="3" t="s">
        <v>330</v>
      </c>
      <c r="F375" s="3" t="s">
        <v>508</v>
      </c>
      <c r="G375" s="3" t="s">
        <v>1464</v>
      </c>
      <c r="H375" s="25" t="s">
        <v>1164</v>
      </c>
      <c r="I375" s="3" t="s">
        <v>13</v>
      </c>
      <c r="J375" s="3" t="s">
        <v>927</v>
      </c>
      <c r="K375" s="3" t="s">
        <v>66</v>
      </c>
    </row>
    <row r="376" spans="1:11" x14ac:dyDescent="0.3">
      <c r="A376" s="3">
        <v>372</v>
      </c>
      <c r="B376" s="3" t="s">
        <v>1465</v>
      </c>
      <c r="C376" s="3" t="s">
        <v>665</v>
      </c>
      <c r="D376" s="3" t="s">
        <v>10</v>
      </c>
      <c r="E376" s="3" t="s">
        <v>330</v>
      </c>
      <c r="F376" s="3" t="s">
        <v>416</v>
      </c>
      <c r="G376" s="3" t="s">
        <v>1370</v>
      </c>
      <c r="H376" s="25" t="s">
        <v>1206</v>
      </c>
      <c r="I376" s="3" t="s">
        <v>13</v>
      </c>
      <c r="J376" s="3" t="s">
        <v>927</v>
      </c>
      <c r="K376" s="3" t="s">
        <v>118</v>
      </c>
    </row>
    <row r="377" spans="1:11" x14ac:dyDescent="0.3">
      <c r="A377" s="4">
        <v>373</v>
      </c>
      <c r="B377" s="4" t="s">
        <v>1466</v>
      </c>
      <c r="C377" s="4" t="s">
        <v>666</v>
      </c>
      <c r="D377" s="4" t="s">
        <v>10</v>
      </c>
      <c r="E377" s="4" t="s">
        <v>330</v>
      </c>
      <c r="F377" s="4" t="s">
        <v>667</v>
      </c>
      <c r="G377" s="4" t="s">
        <v>965</v>
      </c>
      <c r="H377" s="26" t="s">
        <v>1185</v>
      </c>
      <c r="I377" s="4" t="s">
        <v>13</v>
      </c>
      <c r="J377" s="4" t="s">
        <v>926</v>
      </c>
      <c r="K377" s="4" t="s">
        <v>20</v>
      </c>
    </row>
    <row r="378" spans="1:11" x14ac:dyDescent="0.3">
      <c r="A378" s="4">
        <v>374</v>
      </c>
      <c r="B378" s="4" t="s">
        <v>1467</v>
      </c>
      <c r="C378" s="4" t="s">
        <v>668</v>
      </c>
      <c r="D378" s="4" t="s">
        <v>10</v>
      </c>
      <c r="E378" s="4" t="s">
        <v>330</v>
      </c>
      <c r="F378" s="4" t="s">
        <v>382</v>
      </c>
      <c r="G378" s="4" t="s">
        <v>1130</v>
      </c>
      <c r="H378" s="26" t="s">
        <v>1164</v>
      </c>
      <c r="I378" s="4" t="s">
        <v>13</v>
      </c>
      <c r="J378" s="4" t="s">
        <v>926</v>
      </c>
      <c r="K378" s="4" t="s">
        <v>165</v>
      </c>
    </row>
    <row r="379" spans="1:11" x14ac:dyDescent="0.3">
      <c r="A379" s="5">
        <v>375</v>
      </c>
      <c r="B379" s="5" t="s">
        <v>1468</v>
      </c>
      <c r="C379" s="5" t="s">
        <v>669</v>
      </c>
      <c r="D379" s="5" t="s">
        <v>10</v>
      </c>
      <c r="E379" s="5" t="s">
        <v>330</v>
      </c>
      <c r="F379" s="5" t="s">
        <v>171</v>
      </c>
      <c r="G379" s="5" t="s">
        <v>1469</v>
      </c>
      <c r="H379" s="27" t="s">
        <v>1191</v>
      </c>
      <c r="I379" s="5" t="s">
        <v>13</v>
      </c>
      <c r="J379" s="5" t="s">
        <v>925</v>
      </c>
      <c r="K379" s="5" t="s">
        <v>20</v>
      </c>
    </row>
    <row r="380" spans="1:11" x14ac:dyDescent="0.3">
      <c r="A380" s="5">
        <v>376</v>
      </c>
      <c r="B380" s="5" t="s">
        <v>1470</v>
      </c>
      <c r="C380" s="5" t="s">
        <v>670</v>
      </c>
      <c r="D380" s="5" t="s">
        <v>10</v>
      </c>
      <c r="E380" s="5" t="s">
        <v>330</v>
      </c>
      <c r="F380" s="5" t="s">
        <v>337</v>
      </c>
      <c r="G380" s="5" t="s">
        <v>1471</v>
      </c>
      <c r="H380" s="27" t="s">
        <v>1169</v>
      </c>
      <c r="I380" s="5" t="s">
        <v>13</v>
      </c>
      <c r="J380" s="5" t="s">
        <v>923</v>
      </c>
      <c r="K380" s="5" t="s">
        <v>14</v>
      </c>
    </row>
    <row r="381" spans="1:11" x14ac:dyDescent="0.3">
      <c r="A381" s="4">
        <v>377</v>
      </c>
      <c r="B381" s="4" t="s">
        <v>1472</v>
      </c>
      <c r="C381" s="4" t="s">
        <v>671</v>
      </c>
      <c r="D381" s="4" t="s">
        <v>10</v>
      </c>
      <c r="E381" s="4" t="s">
        <v>330</v>
      </c>
      <c r="F381" s="4" t="s">
        <v>595</v>
      </c>
      <c r="G381" s="4" t="s">
        <v>980</v>
      </c>
      <c r="H381" s="26" t="s">
        <v>1183</v>
      </c>
      <c r="I381" s="4" t="s">
        <v>13</v>
      </c>
      <c r="J381" s="4" t="s">
        <v>926</v>
      </c>
      <c r="K381" s="4" t="s">
        <v>43</v>
      </c>
    </row>
    <row r="382" spans="1:11" x14ac:dyDescent="0.3">
      <c r="A382" s="4">
        <v>378</v>
      </c>
      <c r="B382" s="4" t="s">
        <v>1473</v>
      </c>
      <c r="C382" s="4" t="s">
        <v>672</v>
      </c>
      <c r="D382" s="4" t="s">
        <v>10</v>
      </c>
      <c r="E382" s="4" t="s">
        <v>330</v>
      </c>
      <c r="F382" s="4" t="s">
        <v>392</v>
      </c>
      <c r="G382" s="4" t="s">
        <v>1124</v>
      </c>
      <c r="H382" s="26" t="s">
        <v>1193</v>
      </c>
      <c r="I382" s="4" t="s">
        <v>13</v>
      </c>
      <c r="J382" s="4" t="s">
        <v>926</v>
      </c>
      <c r="K382" s="4" t="s">
        <v>20</v>
      </c>
    </row>
    <row r="383" spans="1:11" x14ac:dyDescent="0.3">
      <c r="A383" s="4">
        <v>379</v>
      </c>
      <c r="B383" s="4" t="s">
        <v>1474</v>
      </c>
      <c r="C383" s="4" t="s">
        <v>673</v>
      </c>
      <c r="D383" s="4" t="s">
        <v>10</v>
      </c>
      <c r="E383" s="4" t="s">
        <v>330</v>
      </c>
      <c r="F383" s="4" t="s">
        <v>337</v>
      </c>
      <c r="G383" s="4" t="s">
        <v>962</v>
      </c>
      <c r="H383" s="26" t="s">
        <v>1169</v>
      </c>
      <c r="I383" s="4" t="s">
        <v>13</v>
      </c>
      <c r="J383" s="4" t="s">
        <v>926</v>
      </c>
      <c r="K383" s="4" t="s">
        <v>165</v>
      </c>
    </row>
    <row r="384" spans="1:11" x14ac:dyDescent="0.3">
      <c r="A384" s="4">
        <v>380</v>
      </c>
      <c r="B384" s="4" t="s">
        <v>1475</v>
      </c>
      <c r="C384" s="4" t="s">
        <v>674</v>
      </c>
      <c r="D384" s="4" t="s">
        <v>10</v>
      </c>
      <c r="E384" s="4" t="s">
        <v>330</v>
      </c>
      <c r="F384" s="4" t="s">
        <v>675</v>
      </c>
      <c r="G384" s="4" t="s">
        <v>1166</v>
      </c>
      <c r="H384" s="26" t="s">
        <v>1164</v>
      </c>
      <c r="I384" s="4" t="s">
        <v>13</v>
      </c>
      <c r="J384" s="4" t="s">
        <v>926</v>
      </c>
      <c r="K384" s="4" t="s">
        <v>165</v>
      </c>
    </row>
    <row r="385" spans="1:11" x14ac:dyDescent="0.3">
      <c r="A385" s="4">
        <v>381</v>
      </c>
      <c r="B385" s="4" t="s">
        <v>1476</v>
      </c>
      <c r="C385" s="4" t="s">
        <v>676</v>
      </c>
      <c r="D385" s="4" t="s">
        <v>10</v>
      </c>
      <c r="E385" s="4" t="s">
        <v>330</v>
      </c>
      <c r="F385" s="4" t="s">
        <v>574</v>
      </c>
      <c r="G385" s="4" t="s">
        <v>1330</v>
      </c>
      <c r="H385" s="26" t="s">
        <v>1190</v>
      </c>
      <c r="I385" s="4" t="s">
        <v>13</v>
      </c>
      <c r="J385" s="4" t="s">
        <v>926</v>
      </c>
      <c r="K385" s="4" t="s">
        <v>224</v>
      </c>
    </row>
    <row r="386" spans="1:11" x14ac:dyDescent="0.3">
      <c r="A386" s="5">
        <v>382</v>
      </c>
      <c r="B386" s="5" t="s">
        <v>1477</v>
      </c>
      <c r="C386" s="5" t="s">
        <v>677</v>
      </c>
      <c r="D386" s="5" t="s">
        <v>10</v>
      </c>
      <c r="E386" s="5" t="s">
        <v>330</v>
      </c>
      <c r="F386" s="5" t="s">
        <v>675</v>
      </c>
      <c r="G386" s="5" t="s">
        <v>1478</v>
      </c>
      <c r="H386" s="27" t="s">
        <v>1164</v>
      </c>
      <c r="I386" s="5" t="s">
        <v>13</v>
      </c>
      <c r="J386" s="5" t="s">
        <v>925</v>
      </c>
      <c r="K386" s="5" t="s">
        <v>14</v>
      </c>
    </row>
    <row r="387" spans="1:11" x14ac:dyDescent="0.3">
      <c r="A387" s="5">
        <v>383</v>
      </c>
      <c r="B387" s="5" t="s">
        <v>963</v>
      </c>
      <c r="C387" s="5" t="s">
        <v>678</v>
      </c>
      <c r="D387" s="5" t="s">
        <v>10</v>
      </c>
      <c r="E387" s="5" t="s">
        <v>330</v>
      </c>
      <c r="F387" s="5" t="s">
        <v>679</v>
      </c>
      <c r="G387" s="5" t="s">
        <v>1136</v>
      </c>
      <c r="H387" s="27" t="s">
        <v>1191</v>
      </c>
      <c r="I387" s="5" t="s">
        <v>13</v>
      </c>
      <c r="J387" s="5" t="s">
        <v>925</v>
      </c>
      <c r="K387" s="5" t="s">
        <v>14</v>
      </c>
    </row>
    <row r="388" spans="1:11" x14ac:dyDescent="0.3">
      <c r="A388" s="5">
        <v>384</v>
      </c>
      <c r="B388" s="5" t="s">
        <v>680</v>
      </c>
      <c r="C388" s="5" t="s">
        <v>680</v>
      </c>
      <c r="D388" s="5" t="s">
        <v>10</v>
      </c>
      <c r="E388" s="5" t="s">
        <v>330</v>
      </c>
      <c r="F388" s="5" t="s">
        <v>394</v>
      </c>
      <c r="G388" s="5" t="s">
        <v>1479</v>
      </c>
      <c r="H388" s="27" t="s">
        <v>1190</v>
      </c>
      <c r="I388" s="5" t="s">
        <v>13</v>
      </c>
      <c r="J388" s="5" t="s">
        <v>925</v>
      </c>
      <c r="K388" s="5" t="s">
        <v>165</v>
      </c>
    </row>
    <row r="389" spans="1:11" x14ac:dyDescent="0.3">
      <c r="A389" s="4">
        <v>385</v>
      </c>
      <c r="B389" s="4" t="s">
        <v>1480</v>
      </c>
      <c r="C389" s="4" t="s">
        <v>681</v>
      </c>
      <c r="D389" s="4" t="s">
        <v>10</v>
      </c>
      <c r="E389" s="4" t="s">
        <v>330</v>
      </c>
      <c r="F389" s="4" t="s">
        <v>482</v>
      </c>
      <c r="G389" s="4" t="s">
        <v>999</v>
      </c>
      <c r="H389" s="26" t="s">
        <v>1183</v>
      </c>
      <c r="I389" s="4" t="s">
        <v>13</v>
      </c>
      <c r="J389" s="4" t="s">
        <v>926</v>
      </c>
      <c r="K389" s="4" t="s">
        <v>342</v>
      </c>
    </row>
    <row r="390" spans="1:11" x14ac:dyDescent="0.3">
      <c r="A390" s="5">
        <v>386</v>
      </c>
      <c r="B390" s="5" t="s">
        <v>1481</v>
      </c>
      <c r="C390" s="5" t="s">
        <v>682</v>
      </c>
      <c r="D390" s="5" t="s">
        <v>10</v>
      </c>
      <c r="E390" s="5" t="s">
        <v>330</v>
      </c>
      <c r="F390" s="5" t="s">
        <v>657</v>
      </c>
      <c r="G390" s="5" t="s">
        <v>1425</v>
      </c>
      <c r="H390" s="27" t="s">
        <v>1262</v>
      </c>
      <c r="I390" s="5" t="s">
        <v>13</v>
      </c>
      <c r="J390" s="5" t="s">
        <v>925</v>
      </c>
      <c r="K390" s="5" t="s">
        <v>139</v>
      </c>
    </row>
    <row r="391" spans="1:11" x14ac:dyDescent="0.3">
      <c r="A391" s="4">
        <v>387</v>
      </c>
      <c r="B391" s="4" t="s">
        <v>1482</v>
      </c>
      <c r="C391" s="4" t="s">
        <v>683</v>
      </c>
      <c r="D391" s="4" t="s">
        <v>10</v>
      </c>
      <c r="E391" s="4" t="s">
        <v>330</v>
      </c>
      <c r="F391" s="4" t="s">
        <v>388</v>
      </c>
      <c r="G391" s="4" t="s">
        <v>1310</v>
      </c>
      <c r="H391" s="26" t="s">
        <v>1185</v>
      </c>
      <c r="I391" s="4" t="s">
        <v>13</v>
      </c>
      <c r="J391" s="4" t="s">
        <v>926</v>
      </c>
      <c r="K391" s="4" t="s">
        <v>20</v>
      </c>
    </row>
    <row r="392" spans="1:11" x14ac:dyDescent="0.3">
      <c r="A392" s="4">
        <v>388</v>
      </c>
      <c r="B392" s="4" t="s">
        <v>1483</v>
      </c>
      <c r="C392" s="4" t="s">
        <v>684</v>
      </c>
      <c r="D392" s="4" t="s">
        <v>10</v>
      </c>
      <c r="E392" s="4" t="s">
        <v>330</v>
      </c>
      <c r="F392" s="4" t="s">
        <v>363</v>
      </c>
      <c r="G392" s="4" t="s">
        <v>1166</v>
      </c>
      <c r="H392" s="26" t="s">
        <v>1195</v>
      </c>
      <c r="I392" s="4" t="s">
        <v>13</v>
      </c>
      <c r="J392" s="4" t="s">
        <v>926</v>
      </c>
      <c r="K392" s="4" t="s">
        <v>43</v>
      </c>
    </row>
    <row r="393" spans="1:11" x14ac:dyDescent="0.3">
      <c r="A393" s="4">
        <v>389</v>
      </c>
      <c r="B393" s="4" t="s">
        <v>1484</v>
      </c>
      <c r="C393" s="4" t="s">
        <v>685</v>
      </c>
      <c r="D393" s="4" t="s">
        <v>10</v>
      </c>
      <c r="E393" s="4" t="s">
        <v>330</v>
      </c>
      <c r="F393" s="4" t="s">
        <v>686</v>
      </c>
      <c r="G393" s="4" t="s">
        <v>1348</v>
      </c>
      <c r="H393" s="26" t="s">
        <v>1190</v>
      </c>
      <c r="I393" s="4" t="s">
        <v>13</v>
      </c>
      <c r="J393" s="4" t="s">
        <v>926</v>
      </c>
      <c r="K393" s="4" t="s">
        <v>20</v>
      </c>
    </row>
    <row r="394" spans="1:11" x14ac:dyDescent="0.3">
      <c r="A394" s="4">
        <v>390</v>
      </c>
      <c r="B394" s="4" t="s">
        <v>1484</v>
      </c>
      <c r="C394" s="4" t="s">
        <v>685</v>
      </c>
      <c r="D394" s="4" t="s">
        <v>10</v>
      </c>
      <c r="E394" s="4" t="s">
        <v>330</v>
      </c>
      <c r="F394" s="4" t="s">
        <v>468</v>
      </c>
      <c r="G394" s="4" t="s">
        <v>1485</v>
      </c>
      <c r="H394" s="26" t="s">
        <v>1190</v>
      </c>
      <c r="I394" s="4" t="s">
        <v>13</v>
      </c>
      <c r="J394" s="4" t="s">
        <v>926</v>
      </c>
      <c r="K394" s="4" t="s">
        <v>66</v>
      </c>
    </row>
    <row r="395" spans="1:11" x14ac:dyDescent="0.3">
      <c r="A395" s="4">
        <v>391</v>
      </c>
      <c r="B395" s="4" t="s">
        <v>1486</v>
      </c>
      <c r="C395" s="4" t="s">
        <v>687</v>
      </c>
      <c r="D395" s="4" t="s">
        <v>10</v>
      </c>
      <c r="E395" s="4" t="s">
        <v>330</v>
      </c>
      <c r="F395" s="4" t="s">
        <v>688</v>
      </c>
      <c r="G395" s="4" t="s">
        <v>950</v>
      </c>
      <c r="H395" s="26" t="s">
        <v>1192</v>
      </c>
      <c r="I395" s="4" t="s">
        <v>13</v>
      </c>
      <c r="J395" s="4" t="s">
        <v>926</v>
      </c>
      <c r="K395" s="4" t="s">
        <v>224</v>
      </c>
    </row>
    <row r="396" spans="1:11" x14ac:dyDescent="0.3">
      <c r="A396" s="5">
        <v>392</v>
      </c>
      <c r="B396" s="5" t="s">
        <v>1487</v>
      </c>
      <c r="C396" s="5" t="s">
        <v>689</v>
      </c>
      <c r="D396" s="5" t="s">
        <v>10</v>
      </c>
      <c r="E396" s="5" t="s">
        <v>330</v>
      </c>
      <c r="F396" s="5" t="s">
        <v>690</v>
      </c>
      <c r="G396" s="5" t="s">
        <v>1045</v>
      </c>
      <c r="H396" s="27" t="s">
        <v>1176</v>
      </c>
      <c r="I396" s="5" t="s">
        <v>13</v>
      </c>
      <c r="J396" s="5" t="s">
        <v>925</v>
      </c>
      <c r="K396" s="5" t="s">
        <v>139</v>
      </c>
    </row>
    <row r="397" spans="1:11" x14ac:dyDescent="0.3">
      <c r="A397" s="4">
        <v>393</v>
      </c>
      <c r="B397" s="4" t="s">
        <v>1488</v>
      </c>
      <c r="C397" s="4" t="s">
        <v>691</v>
      </c>
      <c r="D397" s="4" t="s">
        <v>10</v>
      </c>
      <c r="E397" s="4" t="s">
        <v>330</v>
      </c>
      <c r="F397" s="4" t="s">
        <v>692</v>
      </c>
      <c r="G397" s="4" t="s">
        <v>1249</v>
      </c>
      <c r="H397" s="26" t="s">
        <v>1183</v>
      </c>
      <c r="I397" s="4" t="s">
        <v>13</v>
      </c>
      <c r="J397" s="4" t="s">
        <v>926</v>
      </c>
      <c r="K397" s="4" t="s">
        <v>254</v>
      </c>
    </row>
    <row r="398" spans="1:11" x14ac:dyDescent="0.3">
      <c r="A398" s="5">
        <v>394</v>
      </c>
      <c r="B398" s="5" t="s">
        <v>1489</v>
      </c>
      <c r="C398" s="5" t="s">
        <v>693</v>
      </c>
      <c r="D398" s="5" t="s">
        <v>10</v>
      </c>
      <c r="E398" s="5" t="s">
        <v>330</v>
      </c>
      <c r="F398" s="5" t="s">
        <v>382</v>
      </c>
      <c r="G398" s="5" t="s">
        <v>1021</v>
      </c>
      <c r="H398" s="27" t="s">
        <v>1164</v>
      </c>
      <c r="I398" s="5" t="s">
        <v>13</v>
      </c>
      <c r="J398" s="5" t="s">
        <v>925</v>
      </c>
      <c r="K398" s="5" t="s">
        <v>165</v>
      </c>
    </row>
    <row r="399" spans="1:11" x14ac:dyDescent="0.3">
      <c r="A399" s="4">
        <v>395</v>
      </c>
      <c r="B399" s="4" t="s">
        <v>1489</v>
      </c>
      <c r="C399" s="4" t="s">
        <v>694</v>
      </c>
      <c r="D399" s="4" t="s">
        <v>10</v>
      </c>
      <c r="E399" s="4" t="s">
        <v>330</v>
      </c>
      <c r="F399" s="4" t="s">
        <v>370</v>
      </c>
      <c r="G399" s="4" t="s">
        <v>1490</v>
      </c>
      <c r="H399" s="26" t="s">
        <v>1164</v>
      </c>
      <c r="I399" s="4" t="s">
        <v>13</v>
      </c>
      <c r="J399" s="4" t="s">
        <v>926</v>
      </c>
      <c r="K399" s="4" t="s">
        <v>43</v>
      </c>
    </row>
    <row r="400" spans="1:11" x14ac:dyDescent="0.3">
      <c r="A400" s="5">
        <v>396</v>
      </c>
      <c r="B400" s="5" t="s">
        <v>1491</v>
      </c>
      <c r="C400" s="5" t="s">
        <v>695</v>
      </c>
      <c r="D400" s="5" t="s">
        <v>10</v>
      </c>
      <c r="E400" s="5" t="s">
        <v>330</v>
      </c>
      <c r="F400" s="5" t="s">
        <v>696</v>
      </c>
      <c r="G400" s="5" t="s">
        <v>1084</v>
      </c>
      <c r="H400" s="27" t="s">
        <v>1191</v>
      </c>
      <c r="I400" s="5" t="s">
        <v>13</v>
      </c>
      <c r="J400" s="5" t="s">
        <v>925</v>
      </c>
      <c r="K400" s="5" t="s">
        <v>398</v>
      </c>
    </row>
    <row r="401" spans="1:11" x14ac:dyDescent="0.3">
      <c r="A401" s="4">
        <v>397</v>
      </c>
      <c r="B401" s="4" t="s">
        <v>1492</v>
      </c>
      <c r="C401" s="4" t="s">
        <v>697</v>
      </c>
      <c r="D401" s="4" t="s">
        <v>10</v>
      </c>
      <c r="E401" s="4" t="s">
        <v>330</v>
      </c>
      <c r="F401" s="4" t="s">
        <v>698</v>
      </c>
      <c r="G401" s="4" t="s">
        <v>1033</v>
      </c>
      <c r="H401" s="26" t="s">
        <v>1373</v>
      </c>
      <c r="I401" s="4" t="s">
        <v>13</v>
      </c>
      <c r="J401" s="4" t="s">
        <v>926</v>
      </c>
      <c r="K401" s="4" t="s">
        <v>43</v>
      </c>
    </row>
    <row r="402" spans="1:11" x14ac:dyDescent="0.3">
      <c r="A402" s="4">
        <v>398</v>
      </c>
      <c r="B402" s="4" t="s">
        <v>1493</v>
      </c>
      <c r="C402" s="4" t="s">
        <v>699</v>
      </c>
      <c r="D402" s="4" t="s">
        <v>10</v>
      </c>
      <c r="E402" s="4" t="s">
        <v>330</v>
      </c>
      <c r="F402" s="4" t="s">
        <v>700</v>
      </c>
      <c r="G402" s="4" t="s">
        <v>1053</v>
      </c>
      <c r="H402" s="26" t="s">
        <v>1183</v>
      </c>
      <c r="I402" s="4" t="s">
        <v>13</v>
      </c>
      <c r="J402" s="4" t="s">
        <v>926</v>
      </c>
      <c r="K402" s="4" t="s">
        <v>165</v>
      </c>
    </row>
    <row r="403" spans="1:11" x14ac:dyDescent="0.3">
      <c r="A403" s="5">
        <v>399</v>
      </c>
      <c r="B403" s="5" t="s">
        <v>1494</v>
      </c>
      <c r="C403" s="5" t="s">
        <v>701</v>
      </c>
      <c r="D403" s="5" t="s">
        <v>10</v>
      </c>
      <c r="E403" s="5" t="s">
        <v>330</v>
      </c>
      <c r="F403" s="5" t="s">
        <v>567</v>
      </c>
      <c r="G403" s="5" t="s">
        <v>955</v>
      </c>
      <c r="H403" s="27" t="s">
        <v>1198</v>
      </c>
      <c r="I403" s="5" t="s">
        <v>13</v>
      </c>
      <c r="J403" s="5" t="s">
        <v>925</v>
      </c>
      <c r="K403" s="5" t="s">
        <v>14</v>
      </c>
    </row>
    <row r="404" spans="1:11" x14ac:dyDescent="0.3">
      <c r="A404" s="5">
        <v>400</v>
      </c>
      <c r="B404" s="5" t="s">
        <v>1495</v>
      </c>
      <c r="C404" s="5" t="s">
        <v>702</v>
      </c>
      <c r="D404" s="5" t="s">
        <v>10</v>
      </c>
      <c r="E404" s="5" t="s">
        <v>330</v>
      </c>
      <c r="F404" s="5" t="s">
        <v>703</v>
      </c>
      <c r="G404" s="5" t="s">
        <v>1496</v>
      </c>
      <c r="H404" s="27" t="s">
        <v>1183</v>
      </c>
      <c r="I404" s="5" t="s">
        <v>13</v>
      </c>
      <c r="J404" s="5" t="s">
        <v>925</v>
      </c>
      <c r="K404" s="5" t="s">
        <v>20</v>
      </c>
    </row>
    <row r="405" spans="1:11" x14ac:dyDescent="0.3">
      <c r="A405" s="4">
        <v>401</v>
      </c>
      <c r="B405" s="4" t="s">
        <v>1497</v>
      </c>
      <c r="C405" s="4" t="s">
        <v>704</v>
      </c>
      <c r="D405" s="4" t="s">
        <v>10</v>
      </c>
      <c r="E405" s="4" t="s">
        <v>330</v>
      </c>
      <c r="F405" s="4" t="s">
        <v>394</v>
      </c>
      <c r="G405" s="4" t="s">
        <v>1079</v>
      </c>
      <c r="H405" s="26" t="s">
        <v>1190</v>
      </c>
      <c r="I405" s="4" t="s">
        <v>13</v>
      </c>
      <c r="J405" s="4" t="s">
        <v>926</v>
      </c>
      <c r="K405" s="4" t="s">
        <v>20</v>
      </c>
    </row>
    <row r="406" spans="1:11" x14ac:dyDescent="0.3">
      <c r="A406" s="4">
        <v>402</v>
      </c>
      <c r="B406" s="4" t="s">
        <v>1498</v>
      </c>
      <c r="C406" s="4" t="s">
        <v>705</v>
      </c>
      <c r="D406" s="4" t="s">
        <v>10</v>
      </c>
      <c r="E406" s="4" t="s">
        <v>330</v>
      </c>
      <c r="F406" s="4" t="s">
        <v>567</v>
      </c>
      <c r="G406" s="4" t="s">
        <v>955</v>
      </c>
      <c r="H406" s="26" t="s">
        <v>1198</v>
      </c>
      <c r="I406" s="4" t="s">
        <v>13</v>
      </c>
      <c r="J406" s="4" t="s">
        <v>926</v>
      </c>
      <c r="K406" s="4" t="s">
        <v>14</v>
      </c>
    </row>
    <row r="407" spans="1:11" x14ac:dyDescent="0.3">
      <c r="A407" s="4">
        <v>403</v>
      </c>
      <c r="B407" s="4" t="s">
        <v>1499</v>
      </c>
      <c r="C407" s="4" t="s">
        <v>706</v>
      </c>
      <c r="D407" s="4" t="s">
        <v>10</v>
      </c>
      <c r="E407" s="4" t="s">
        <v>330</v>
      </c>
      <c r="F407" s="4" t="s">
        <v>707</v>
      </c>
      <c r="G407" s="4" t="s">
        <v>1500</v>
      </c>
      <c r="H407" s="26" t="s">
        <v>1190</v>
      </c>
      <c r="I407" s="4" t="s">
        <v>13</v>
      </c>
      <c r="J407" s="4" t="s">
        <v>926</v>
      </c>
      <c r="K407" s="4" t="s">
        <v>165</v>
      </c>
    </row>
    <row r="408" spans="1:11" x14ac:dyDescent="0.3">
      <c r="A408" s="4">
        <v>404</v>
      </c>
      <c r="B408" s="4" t="s">
        <v>708</v>
      </c>
      <c r="C408" s="4" t="s">
        <v>708</v>
      </c>
      <c r="D408" s="4" t="s">
        <v>10</v>
      </c>
      <c r="E408" s="4" t="s">
        <v>330</v>
      </c>
      <c r="F408" s="4" t="s">
        <v>464</v>
      </c>
      <c r="G408" s="4" t="s">
        <v>1501</v>
      </c>
      <c r="H408" s="26" t="s">
        <v>1169</v>
      </c>
      <c r="I408" s="4" t="s">
        <v>13</v>
      </c>
      <c r="J408" s="4" t="s">
        <v>926</v>
      </c>
      <c r="K408" s="4" t="s">
        <v>254</v>
      </c>
    </row>
    <row r="409" spans="1:11" x14ac:dyDescent="0.3">
      <c r="A409" s="3">
        <v>405</v>
      </c>
      <c r="B409" s="3" t="s">
        <v>1502</v>
      </c>
      <c r="C409" s="3" t="s">
        <v>709</v>
      </c>
      <c r="D409" s="3" t="s">
        <v>10</v>
      </c>
      <c r="E409" s="3" t="s">
        <v>330</v>
      </c>
      <c r="F409" s="3" t="s">
        <v>500</v>
      </c>
      <c r="G409" s="3" t="s">
        <v>1503</v>
      </c>
      <c r="H409" s="25" t="s">
        <v>1198</v>
      </c>
      <c r="I409" s="3" t="s">
        <v>13</v>
      </c>
      <c r="J409" s="3" t="s">
        <v>927</v>
      </c>
      <c r="K409" s="3" t="s">
        <v>27</v>
      </c>
    </row>
    <row r="410" spans="1:11" x14ac:dyDescent="0.3">
      <c r="A410" s="5">
        <v>406</v>
      </c>
      <c r="B410" s="5" t="s">
        <v>1504</v>
      </c>
      <c r="C410" s="5" t="s">
        <v>710</v>
      </c>
      <c r="D410" s="5" t="s">
        <v>10</v>
      </c>
      <c r="E410" s="5" t="s">
        <v>330</v>
      </c>
      <c r="F410" s="5" t="s">
        <v>711</v>
      </c>
      <c r="G410" s="5" t="s">
        <v>993</v>
      </c>
      <c r="H410" s="27" t="s">
        <v>1185</v>
      </c>
      <c r="I410" s="5" t="s">
        <v>13</v>
      </c>
      <c r="J410" s="5" t="s">
        <v>925</v>
      </c>
      <c r="K410" s="5" t="s">
        <v>14</v>
      </c>
    </row>
    <row r="411" spans="1:11" x14ac:dyDescent="0.3">
      <c r="A411" s="4">
        <v>407</v>
      </c>
      <c r="B411" s="4" t="s">
        <v>1505</v>
      </c>
      <c r="C411" s="4" t="s">
        <v>712</v>
      </c>
      <c r="D411" s="4" t="s">
        <v>10</v>
      </c>
      <c r="E411" s="4" t="s">
        <v>330</v>
      </c>
      <c r="F411" s="4" t="s">
        <v>713</v>
      </c>
      <c r="G411" s="4" t="s">
        <v>1005</v>
      </c>
      <c r="H411" s="26" t="s">
        <v>1164</v>
      </c>
      <c r="I411" s="4" t="s">
        <v>13</v>
      </c>
      <c r="J411" s="4" t="s">
        <v>926</v>
      </c>
      <c r="K411" s="4" t="s">
        <v>488</v>
      </c>
    </row>
    <row r="412" spans="1:11" x14ac:dyDescent="0.3">
      <c r="A412" s="4">
        <v>408</v>
      </c>
      <c r="B412" s="4" t="s">
        <v>1506</v>
      </c>
      <c r="C412" s="4" t="s">
        <v>714</v>
      </c>
      <c r="D412" s="4" t="s">
        <v>10</v>
      </c>
      <c r="E412" s="4" t="s">
        <v>330</v>
      </c>
      <c r="F412" s="4" t="s">
        <v>337</v>
      </c>
      <c r="G412" s="4" t="s">
        <v>1406</v>
      </c>
      <c r="H412" s="26" t="s">
        <v>1169</v>
      </c>
      <c r="I412" s="4" t="s">
        <v>13</v>
      </c>
      <c r="J412" s="4" t="s">
        <v>926</v>
      </c>
      <c r="K412" s="4" t="s">
        <v>14</v>
      </c>
    </row>
    <row r="413" spans="1:11" x14ac:dyDescent="0.3">
      <c r="A413" s="5">
        <v>409</v>
      </c>
      <c r="B413" s="5" t="s">
        <v>1507</v>
      </c>
      <c r="C413" s="5" t="s">
        <v>715</v>
      </c>
      <c r="D413" s="5" t="s">
        <v>10</v>
      </c>
      <c r="E413" s="5" t="s">
        <v>330</v>
      </c>
      <c r="F413" s="5" t="s">
        <v>716</v>
      </c>
      <c r="G413" s="5" t="s">
        <v>1508</v>
      </c>
      <c r="H413" s="27" t="s">
        <v>1289</v>
      </c>
      <c r="I413" s="5" t="s">
        <v>13</v>
      </c>
      <c r="J413" s="5" t="s">
        <v>925</v>
      </c>
      <c r="K413" s="5" t="s">
        <v>43</v>
      </c>
    </row>
    <row r="414" spans="1:11" x14ac:dyDescent="0.3">
      <c r="A414" s="4">
        <v>410</v>
      </c>
      <c r="B414" s="4" t="s">
        <v>1509</v>
      </c>
      <c r="C414" s="4" t="s">
        <v>717</v>
      </c>
      <c r="D414" s="4" t="s">
        <v>10</v>
      </c>
      <c r="E414" s="4" t="s">
        <v>330</v>
      </c>
      <c r="F414" s="4" t="s">
        <v>357</v>
      </c>
      <c r="G414" s="4" t="s">
        <v>1003</v>
      </c>
      <c r="H414" s="26" t="s">
        <v>1190</v>
      </c>
      <c r="I414" s="4" t="s">
        <v>13</v>
      </c>
      <c r="J414" s="4" t="s">
        <v>926</v>
      </c>
      <c r="K414" s="4" t="s">
        <v>43</v>
      </c>
    </row>
    <row r="415" spans="1:11" x14ac:dyDescent="0.3">
      <c r="A415" s="5">
        <v>411</v>
      </c>
      <c r="B415" s="5" t="s">
        <v>1510</v>
      </c>
      <c r="C415" s="5" t="s">
        <v>718</v>
      </c>
      <c r="D415" s="5" t="s">
        <v>10</v>
      </c>
      <c r="E415" s="5" t="s">
        <v>330</v>
      </c>
      <c r="F415" s="5" t="s">
        <v>349</v>
      </c>
      <c r="G415" s="5" t="s">
        <v>1511</v>
      </c>
      <c r="H415" s="27" t="s">
        <v>1183</v>
      </c>
      <c r="I415" s="5" t="s">
        <v>13</v>
      </c>
      <c r="J415" s="5" t="s">
        <v>925</v>
      </c>
      <c r="K415" s="5" t="s">
        <v>70</v>
      </c>
    </row>
    <row r="416" spans="1:11" x14ac:dyDescent="0.3">
      <c r="A416" s="4">
        <v>412</v>
      </c>
      <c r="B416" s="4" t="s">
        <v>1512</v>
      </c>
      <c r="C416" s="4" t="s">
        <v>719</v>
      </c>
      <c r="D416" s="4" t="s">
        <v>10</v>
      </c>
      <c r="E416" s="4" t="s">
        <v>330</v>
      </c>
      <c r="F416" s="4" t="s">
        <v>335</v>
      </c>
      <c r="G416" s="4" t="s">
        <v>965</v>
      </c>
      <c r="H416" s="26" t="s">
        <v>1169</v>
      </c>
      <c r="I416" s="4" t="s">
        <v>13</v>
      </c>
      <c r="J416" s="4" t="s">
        <v>926</v>
      </c>
      <c r="K416" s="4" t="s">
        <v>411</v>
      </c>
    </row>
    <row r="417" spans="1:11" x14ac:dyDescent="0.3">
      <c r="A417" s="4">
        <v>413</v>
      </c>
      <c r="B417" s="4" t="s">
        <v>1513</v>
      </c>
      <c r="C417" s="4" t="s">
        <v>720</v>
      </c>
      <c r="D417" s="4" t="s">
        <v>10</v>
      </c>
      <c r="E417" s="4" t="s">
        <v>330</v>
      </c>
      <c r="F417" s="4" t="s">
        <v>337</v>
      </c>
      <c r="G417" s="4" t="s">
        <v>1514</v>
      </c>
      <c r="H417" s="26" t="s">
        <v>1169</v>
      </c>
      <c r="I417" s="4" t="s">
        <v>13</v>
      </c>
      <c r="J417" s="4" t="s">
        <v>926</v>
      </c>
      <c r="K417" s="4" t="s">
        <v>20</v>
      </c>
    </row>
    <row r="418" spans="1:11" x14ac:dyDescent="0.3">
      <c r="A418" s="4">
        <v>414</v>
      </c>
      <c r="B418" s="4" t="s">
        <v>1515</v>
      </c>
      <c r="C418" s="4" t="s">
        <v>721</v>
      </c>
      <c r="D418" s="4" t="s">
        <v>10</v>
      </c>
      <c r="E418" s="4" t="s">
        <v>330</v>
      </c>
      <c r="F418" s="4" t="s">
        <v>453</v>
      </c>
      <c r="G418" s="4" t="s">
        <v>1516</v>
      </c>
      <c r="H418" s="26" t="s">
        <v>1164</v>
      </c>
      <c r="I418" s="4" t="s">
        <v>13</v>
      </c>
      <c r="J418" s="4" t="s">
        <v>926</v>
      </c>
      <c r="K418" s="4" t="s">
        <v>165</v>
      </c>
    </row>
    <row r="419" spans="1:11" x14ac:dyDescent="0.3">
      <c r="A419" s="3">
        <v>415</v>
      </c>
      <c r="B419" s="3" t="s">
        <v>1000</v>
      </c>
      <c r="C419" s="3" t="s">
        <v>722</v>
      </c>
      <c r="D419" s="3" t="s">
        <v>10</v>
      </c>
      <c r="E419" s="3" t="s">
        <v>330</v>
      </c>
      <c r="F419" s="3" t="s">
        <v>723</v>
      </c>
      <c r="G419" s="3" t="s">
        <v>982</v>
      </c>
      <c r="H419" s="25" t="s">
        <v>1164</v>
      </c>
      <c r="I419" s="3" t="s">
        <v>13</v>
      </c>
      <c r="J419" s="3" t="s">
        <v>927</v>
      </c>
      <c r="K419" s="3" t="s">
        <v>14</v>
      </c>
    </row>
    <row r="420" spans="1:11" x14ac:dyDescent="0.3">
      <c r="A420" s="5">
        <v>416</v>
      </c>
      <c r="B420" s="5" t="s">
        <v>1517</v>
      </c>
      <c r="C420" s="5" t="s">
        <v>724</v>
      </c>
      <c r="D420" s="5" t="s">
        <v>10</v>
      </c>
      <c r="E420" s="5" t="s">
        <v>330</v>
      </c>
      <c r="F420" s="5" t="s">
        <v>725</v>
      </c>
      <c r="G420" s="5" t="s">
        <v>1368</v>
      </c>
      <c r="H420" s="27" t="s">
        <v>1190</v>
      </c>
      <c r="I420" s="5" t="s">
        <v>13</v>
      </c>
      <c r="J420" s="5" t="s">
        <v>925</v>
      </c>
      <c r="K420" s="5" t="s">
        <v>224</v>
      </c>
    </row>
    <row r="421" spans="1:11" x14ac:dyDescent="0.3">
      <c r="A421" s="4">
        <v>417</v>
      </c>
      <c r="B421" s="4" t="s">
        <v>1518</v>
      </c>
      <c r="C421" s="4" t="s">
        <v>726</v>
      </c>
      <c r="D421" s="4" t="s">
        <v>10</v>
      </c>
      <c r="E421" s="4" t="s">
        <v>330</v>
      </c>
      <c r="F421" s="4" t="s">
        <v>503</v>
      </c>
      <c r="G421" s="4" t="s">
        <v>1045</v>
      </c>
      <c r="H421" s="26" t="s">
        <v>1254</v>
      </c>
      <c r="I421" s="4" t="s">
        <v>13</v>
      </c>
      <c r="J421" s="4" t="s">
        <v>926</v>
      </c>
      <c r="K421" s="4" t="s">
        <v>224</v>
      </c>
    </row>
    <row r="422" spans="1:11" x14ac:dyDescent="0.3">
      <c r="A422" s="4">
        <v>418</v>
      </c>
      <c r="B422" s="4" t="s">
        <v>1519</v>
      </c>
      <c r="C422" s="4" t="s">
        <v>727</v>
      </c>
      <c r="D422" s="4" t="s">
        <v>10</v>
      </c>
      <c r="E422" s="4" t="s">
        <v>330</v>
      </c>
      <c r="F422" s="4" t="s">
        <v>728</v>
      </c>
      <c r="G422" s="4" t="s">
        <v>1520</v>
      </c>
      <c r="H422" s="26" t="s">
        <v>1206</v>
      </c>
      <c r="I422" s="4" t="s">
        <v>13</v>
      </c>
      <c r="J422" s="4" t="s">
        <v>926</v>
      </c>
      <c r="K422" s="4" t="s">
        <v>58</v>
      </c>
    </row>
    <row r="423" spans="1:11" x14ac:dyDescent="0.3">
      <c r="A423" s="4">
        <v>419</v>
      </c>
      <c r="B423" s="4" t="s">
        <v>1521</v>
      </c>
      <c r="C423" s="4" t="s">
        <v>729</v>
      </c>
      <c r="D423" s="4" t="s">
        <v>10</v>
      </c>
      <c r="E423" s="4" t="s">
        <v>330</v>
      </c>
      <c r="F423" s="4" t="s">
        <v>382</v>
      </c>
      <c r="G423" s="4" t="s">
        <v>1522</v>
      </c>
      <c r="H423" s="26" t="s">
        <v>1164</v>
      </c>
      <c r="I423" s="4" t="s">
        <v>13</v>
      </c>
      <c r="J423" s="4" t="s">
        <v>926</v>
      </c>
      <c r="K423" s="4" t="s">
        <v>342</v>
      </c>
    </row>
    <row r="424" spans="1:11" x14ac:dyDescent="0.3">
      <c r="A424" s="5">
        <v>420</v>
      </c>
      <c r="B424" s="5" t="s">
        <v>1521</v>
      </c>
      <c r="C424" s="5" t="s">
        <v>730</v>
      </c>
      <c r="D424" s="5" t="s">
        <v>10</v>
      </c>
      <c r="E424" s="5" t="s">
        <v>330</v>
      </c>
      <c r="F424" s="5" t="s">
        <v>380</v>
      </c>
      <c r="G424" s="5" t="s">
        <v>1523</v>
      </c>
      <c r="H424" s="27" t="s">
        <v>1183</v>
      </c>
      <c r="I424" s="5" t="s">
        <v>13</v>
      </c>
      <c r="J424" s="5" t="s">
        <v>925</v>
      </c>
      <c r="K424" s="5" t="s">
        <v>342</v>
      </c>
    </row>
    <row r="425" spans="1:11" x14ac:dyDescent="0.3">
      <c r="A425" s="5">
        <v>421</v>
      </c>
      <c r="B425" s="5" t="s">
        <v>1524</v>
      </c>
      <c r="C425" s="5" t="s">
        <v>731</v>
      </c>
      <c r="D425" s="5" t="s">
        <v>10</v>
      </c>
      <c r="E425" s="5" t="s">
        <v>330</v>
      </c>
      <c r="F425" s="5" t="s">
        <v>370</v>
      </c>
      <c r="G425" s="5" t="s">
        <v>1252</v>
      </c>
      <c r="H425" s="27" t="s">
        <v>1164</v>
      </c>
      <c r="I425" s="5" t="s">
        <v>13</v>
      </c>
      <c r="J425" s="5" t="s">
        <v>925</v>
      </c>
      <c r="K425" s="5" t="s">
        <v>165</v>
      </c>
    </row>
    <row r="426" spans="1:11" x14ac:dyDescent="0.3">
      <c r="A426" s="4">
        <v>422</v>
      </c>
      <c r="B426" s="4" t="s">
        <v>1525</v>
      </c>
      <c r="C426" s="4" t="s">
        <v>732</v>
      </c>
      <c r="D426" s="4" t="s">
        <v>10</v>
      </c>
      <c r="E426" s="4" t="s">
        <v>330</v>
      </c>
      <c r="F426" s="4" t="s">
        <v>466</v>
      </c>
      <c r="G426" s="4" t="s">
        <v>1526</v>
      </c>
      <c r="H426" s="26" t="s">
        <v>1164</v>
      </c>
      <c r="I426" s="4" t="s">
        <v>13</v>
      </c>
      <c r="J426" s="4" t="s">
        <v>926</v>
      </c>
      <c r="K426" s="4" t="s">
        <v>43</v>
      </c>
    </row>
    <row r="427" spans="1:11" x14ac:dyDescent="0.3">
      <c r="A427" s="4">
        <v>423</v>
      </c>
      <c r="B427" s="4" t="s">
        <v>1527</v>
      </c>
      <c r="C427" s="4" t="s">
        <v>733</v>
      </c>
      <c r="D427" s="4" t="s">
        <v>10</v>
      </c>
      <c r="E427" s="4" t="s">
        <v>330</v>
      </c>
      <c r="F427" s="4" t="s">
        <v>574</v>
      </c>
      <c r="G427" s="4" t="s">
        <v>1528</v>
      </c>
      <c r="H427" s="26" t="s">
        <v>1190</v>
      </c>
      <c r="I427" s="4" t="s">
        <v>13</v>
      </c>
      <c r="J427" s="4" t="s">
        <v>926</v>
      </c>
      <c r="K427" s="4" t="s">
        <v>224</v>
      </c>
    </row>
    <row r="428" spans="1:11" x14ac:dyDescent="0.3">
      <c r="A428" s="4">
        <v>424</v>
      </c>
      <c r="B428" s="4" t="s">
        <v>1529</v>
      </c>
      <c r="C428" s="4" t="s">
        <v>734</v>
      </c>
      <c r="D428" s="4" t="s">
        <v>10</v>
      </c>
      <c r="E428" s="4" t="s">
        <v>330</v>
      </c>
      <c r="F428" s="4" t="s">
        <v>517</v>
      </c>
      <c r="G428" s="4" t="s">
        <v>1530</v>
      </c>
      <c r="H428" s="26" t="s">
        <v>1169</v>
      </c>
      <c r="I428" s="4" t="s">
        <v>13</v>
      </c>
      <c r="J428" s="4" t="s">
        <v>926</v>
      </c>
      <c r="K428" s="4" t="s">
        <v>165</v>
      </c>
    </row>
    <row r="429" spans="1:11" x14ac:dyDescent="0.3">
      <c r="A429" s="4">
        <v>425</v>
      </c>
      <c r="B429" s="4" t="s">
        <v>1531</v>
      </c>
      <c r="C429" s="4" t="s">
        <v>735</v>
      </c>
      <c r="D429" s="4" t="s">
        <v>10</v>
      </c>
      <c r="E429" s="4" t="s">
        <v>330</v>
      </c>
      <c r="F429" s="4" t="s">
        <v>736</v>
      </c>
      <c r="G429" s="4" t="s">
        <v>993</v>
      </c>
      <c r="H429" s="26" t="s">
        <v>1169</v>
      </c>
      <c r="I429" s="4" t="s">
        <v>13</v>
      </c>
      <c r="J429" s="4" t="s">
        <v>926</v>
      </c>
      <c r="K429" s="4" t="s">
        <v>165</v>
      </c>
    </row>
    <row r="430" spans="1:11" x14ac:dyDescent="0.3">
      <c r="A430" s="4">
        <v>426</v>
      </c>
      <c r="B430" s="4" t="s">
        <v>1532</v>
      </c>
      <c r="C430" s="4" t="s">
        <v>737</v>
      </c>
      <c r="D430" s="4" t="s">
        <v>10</v>
      </c>
      <c r="E430" s="4" t="s">
        <v>330</v>
      </c>
      <c r="F430" s="4" t="s">
        <v>339</v>
      </c>
      <c r="G430" s="4" t="s">
        <v>1533</v>
      </c>
      <c r="H430" s="26" t="s">
        <v>1169</v>
      </c>
      <c r="I430" s="4" t="s">
        <v>13</v>
      </c>
      <c r="J430" s="4" t="s">
        <v>926</v>
      </c>
      <c r="K430" s="4" t="s">
        <v>165</v>
      </c>
    </row>
    <row r="431" spans="1:11" x14ac:dyDescent="0.3">
      <c r="A431" s="4">
        <v>427</v>
      </c>
      <c r="B431" s="4" t="s">
        <v>1534</v>
      </c>
      <c r="C431" s="4" t="s">
        <v>738</v>
      </c>
      <c r="D431" s="4" t="s">
        <v>10</v>
      </c>
      <c r="E431" s="4" t="s">
        <v>330</v>
      </c>
      <c r="F431" s="4" t="s">
        <v>739</v>
      </c>
      <c r="G431" s="4" t="s">
        <v>1009</v>
      </c>
      <c r="H431" s="26" t="s">
        <v>1430</v>
      </c>
      <c r="I431" s="4" t="s">
        <v>13</v>
      </c>
      <c r="J431" s="4" t="s">
        <v>926</v>
      </c>
      <c r="K431" s="4" t="s">
        <v>224</v>
      </c>
    </row>
    <row r="432" spans="1:11" x14ac:dyDescent="0.3">
      <c r="A432" s="4">
        <v>428</v>
      </c>
      <c r="B432" s="4" t="s">
        <v>1535</v>
      </c>
      <c r="C432" s="4" t="s">
        <v>740</v>
      </c>
      <c r="D432" s="4" t="s">
        <v>10</v>
      </c>
      <c r="E432" s="4" t="s">
        <v>330</v>
      </c>
      <c r="F432" s="4" t="s">
        <v>741</v>
      </c>
      <c r="G432" s="4" t="s">
        <v>946</v>
      </c>
      <c r="H432" s="26" t="s">
        <v>1206</v>
      </c>
      <c r="I432" s="4" t="s">
        <v>13</v>
      </c>
      <c r="J432" s="4" t="s">
        <v>926</v>
      </c>
      <c r="K432" s="4" t="s">
        <v>14</v>
      </c>
    </row>
    <row r="433" spans="1:11" x14ac:dyDescent="0.3">
      <c r="A433" s="5">
        <v>429</v>
      </c>
      <c r="B433" s="5" t="s">
        <v>1536</v>
      </c>
      <c r="C433" s="5" t="s">
        <v>742</v>
      </c>
      <c r="D433" s="5" t="s">
        <v>10</v>
      </c>
      <c r="E433" s="5" t="s">
        <v>330</v>
      </c>
      <c r="F433" s="5" t="s">
        <v>453</v>
      </c>
      <c r="G433" s="5" t="s">
        <v>980</v>
      </c>
      <c r="H433" s="27" t="s">
        <v>1164</v>
      </c>
      <c r="I433" s="5" t="s">
        <v>13</v>
      </c>
      <c r="J433" s="5" t="s">
        <v>925</v>
      </c>
      <c r="K433" s="5" t="s">
        <v>20</v>
      </c>
    </row>
    <row r="434" spans="1:11" x14ac:dyDescent="0.3">
      <c r="A434" s="4">
        <v>430</v>
      </c>
      <c r="B434" s="4" t="s">
        <v>1537</v>
      </c>
      <c r="C434" s="4" t="s">
        <v>743</v>
      </c>
      <c r="D434" s="4" t="s">
        <v>10</v>
      </c>
      <c r="E434" s="4" t="s">
        <v>330</v>
      </c>
      <c r="F434" s="4" t="s">
        <v>744</v>
      </c>
      <c r="G434" s="4" t="s">
        <v>1056</v>
      </c>
      <c r="H434" s="26" t="s">
        <v>1187</v>
      </c>
      <c r="I434" s="4" t="s">
        <v>13</v>
      </c>
      <c r="J434" s="4" t="s">
        <v>926</v>
      </c>
      <c r="K434" s="4" t="s">
        <v>14</v>
      </c>
    </row>
    <row r="435" spans="1:11" x14ac:dyDescent="0.3">
      <c r="A435" s="5">
        <v>431</v>
      </c>
      <c r="B435" s="5" t="s">
        <v>1538</v>
      </c>
      <c r="C435" s="5" t="s">
        <v>745</v>
      </c>
      <c r="D435" s="5" t="s">
        <v>10</v>
      </c>
      <c r="E435" s="5" t="s">
        <v>330</v>
      </c>
      <c r="F435" s="5" t="s">
        <v>700</v>
      </c>
      <c r="G435" s="5" t="s">
        <v>1539</v>
      </c>
      <c r="H435" s="27" t="s">
        <v>1183</v>
      </c>
      <c r="I435" s="5" t="s">
        <v>13</v>
      </c>
      <c r="J435" s="5" t="s">
        <v>925</v>
      </c>
      <c r="K435" s="5" t="s">
        <v>14</v>
      </c>
    </row>
    <row r="436" spans="1:11" x14ac:dyDescent="0.3">
      <c r="A436" s="4">
        <v>432</v>
      </c>
      <c r="B436" s="4" t="s">
        <v>1540</v>
      </c>
      <c r="C436" s="4" t="s">
        <v>746</v>
      </c>
      <c r="D436" s="4" t="s">
        <v>10</v>
      </c>
      <c r="E436" s="4" t="s">
        <v>747</v>
      </c>
      <c r="F436" s="4" t="s">
        <v>48</v>
      </c>
      <c r="G436" s="4" t="s">
        <v>1541</v>
      </c>
      <c r="H436" s="26" t="s">
        <v>1542</v>
      </c>
      <c r="I436" s="4" t="s">
        <v>13</v>
      </c>
      <c r="J436" s="4" t="s">
        <v>926</v>
      </c>
      <c r="K436" s="4" t="s">
        <v>14</v>
      </c>
    </row>
    <row r="437" spans="1:11" x14ac:dyDescent="0.3">
      <c r="A437" s="5">
        <v>433</v>
      </c>
      <c r="B437" s="5" t="s">
        <v>1543</v>
      </c>
      <c r="C437" s="5" t="s">
        <v>748</v>
      </c>
      <c r="D437" s="5" t="s">
        <v>10</v>
      </c>
      <c r="E437" s="5" t="s">
        <v>747</v>
      </c>
      <c r="F437" s="5" t="s">
        <v>749</v>
      </c>
      <c r="G437" s="5" t="s">
        <v>1330</v>
      </c>
      <c r="H437" s="27" t="s">
        <v>1542</v>
      </c>
      <c r="I437" s="5" t="s">
        <v>13</v>
      </c>
      <c r="J437" s="5" t="s">
        <v>925</v>
      </c>
      <c r="K437" s="5" t="s">
        <v>20</v>
      </c>
    </row>
    <row r="438" spans="1:11" x14ac:dyDescent="0.3">
      <c r="A438" s="5">
        <v>434</v>
      </c>
      <c r="B438" s="5" t="s">
        <v>1544</v>
      </c>
      <c r="C438" s="5" t="s">
        <v>750</v>
      </c>
      <c r="D438" s="5" t="s">
        <v>10</v>
      </c>
      <c r="E438" s="5" t="s">
        <v>747</v>
      </c>
      <c r="F438" s="5" t="s">
        <v>751</v>
      </c>
      <c r="G438" s="5" t="s">
        <v>1124</v>
      </c>
      <c r="H438" s="27" t="s">
        <v>1542</v>
      </c>
      <c r="I438" s="5" t="s">
        <v>13</v>
      </c>
      <c r="J438" s="5" t="s">
        <v>925</v>
      </c>
      <c r="K438" s="5" t="s">
        <v>205</v>
      </c>
    </row>
    <row r="439" spans="1:11" x14ac:dyDescent="0.3">
      <c r="A439" s="4">
        <v>435</v>
      </c>
      <c r="B439" s="4" t="s">
        <v>1545</v>
      </c>
      <c r="C439" s="4" t="s">
        <v>752</v>
      </c>
      <c r="D439" s="4" t="s">
        <v>10</v>
      </c>
      <c r="E439" s="4" t="s">
        <v>747</v>
      </c>
      <c r="F439" s="4" t="s">
        <v>753</v>
      </c>
      <c r="G439" s="4" t="s">
        <v>1348</v>
      </c>
      <c r="H439" s="26" t="s">
        <v>1542</v>
      </c>
      <c r="I439" s="4" t="s">
        <v>13</v>
      </c>
      <c r="J439" s="4" t="s">
        <v>926</v>
      </c>
      <c r="K439" s="4" t="s">
        <v>14</v>
      </c>
    </row>
    <row r="440" spans="1:11" x14ac:dyDescent="0.3">
      <c r="A440" s="5">
        <v>436</v>
      </c>
      <c r="B440" s="5" t="s">
        <v>1546</v>
      </c>
      <c r="C440" s="5" t="s">
        <v>754</v>
      </c>
      <c r="D440" s="5" t="s">
        <v>10</v>
      </c>
      <c r="E440" s="5" t="s">
        <v>747</v>
      </c>
      <c r="F440" s="5" t="s">
        <v>755</v>
      </c>
      <c r="G440" s="5" t="s">
        <v>1056</v>
      </c>
      <c r="H440" s="27" t="s">
        <v>1542</v>
      </c>
      <c r="I440" s="5" t="s">
        <v>13</v>
      </c>
      <c r="J440" s="5" t="s">
        <v>925</v>
      </c>
      <c r="K440" s="5" t="s">
        <v>58</v>
      </c>
    </row>
    <row r="441" spans="1:11" x14ac:dyDescent="0.3">
      <c r="A441" s="5">
        <v>437</v>
      </c>
      <c r="B441" s="5" t="s">
        <v>1547</v>
      </c>
      <c r="C441" s="5" t="s">
        <v>756</v>
      </c>
      <c r="D441" s="5" t="s">
        <v>10</v>
      </c>
      <c r="E441" s="5" t="s">
        <v>747</v>
      </c>
      <c r="F441" s="5" t="s">
        <v>48</v>
      </c>
      <c r="G441" s="5" t="s">
        <v>1166</v>
      </c>
      <c r="H441" s="27" t="s">
        <v>1542</v>
      </c>
      <c r="I441" s="5" t="s">
        <v>13</v>
      </c>
      <c r="J441" s="5" t="s">
        <v>925</v>
      </c>
      <c r="K441" s="5" t="s">
        <v>398</v>
      </c>
    </row>
    <row r="442" spans="1:11" x14ac:dyDescent="0.3">
      <c r="A442" s="5">
        <v>438</v>
      </c>
      <c r="B442" s="5" t="s">
        <v>1548</v>
      </c>
      <c r="C442" s="5" t="s">
        <v>757</v>
      </c>
      <c r="D442" s="5" t="s">
        <v>10</v>
      </c>
      <c r="E442" s="5" t="s">
        <v>747</v>
      </c>
      <c r="F442" s="5" t="s">
        <v>758</v>
      </c>
      <c r="G442" s="5" t="s">
        <v>1232</v>
      </c>
      <c r="H442" s="27" t="s">
        <v>1542</v>
      </c>
      <c r="I442" s="5" t="s">
        <v>13</v>
      </c>
      <c r="J442" s="5" t="s">
        <v>925</v>
      </c>
      <c r="K442" s="5" t="s">
        <v>14</v>
      </c>
    </row>
    <row r="443" spans="1:11" x14ac:dyDescent="0.3">
      <c r="A443" s="3">
        <v>439</v>
      </c>
      <c r="B443" s="3" t="s">
        <v>1120</v>
      </c>
      <c r="C443" s="3" t="s">
        <v>759</v>
      </c>
      <c r="D443" s="3" t="s">
        <v>10</v>
      </c>
      <c r="E443" s="3" t="s">
        <v>760</v>
      </c>
      <c r="F443" s="3" t="s">
        <v>761</v>
      </c>
      <c r="G443" s="3" t="s">
        <v>1122</v>
      </c>
      <c r="H443" s="25" t="s">
        <v>1549</v>
      </c>
      <c r="I443" s="3" t="s">
        <v>13</v>
      </c>
      <c r="J443" s="3" t="s">
        <v>927</v>
      </c>
      <c r="K443" s="3" t="s">
        <v>115</v>
      </c>
    </row>
    <row r="444" spans="1:11" x14ac:dyDescent="0.3">
      <c r="A444" s="5">
        <v>440</v>
      </c>
      <c r="B444" s="5" t="s">
        <v>1550</v>
      </c>
      <c r="C444" s="5" t="s">
        <v>762</v>
      </c>
      <c r="D444" s="5" t="s">
        <v>10</v>
      </c>
      <c r="E444" s="5" t="s">
        <v>760</v>
      </c>
      <c r="F444" s="5" t="s">
        <v>48</v>
      </c>
      <c r="G444" s="5" t="s">
        <v>1079</v>
      </c>
      <c r="H444" s="27" t="s">
        <v>1549</v>
      </c>
      <c r="I444" s="5" t="s">
        <v>13</v>
      </c>
      <c r="J444" s="5" t="s">
        <v>925</v>
      </c>
      <c r="K444" s="5" t="s">
        <v>20</v>
      </c>
    </row>
    <row r="445" spans="1:11" x14ac:dyDescent="0.3">
      <c r="A445" s="5">
        <v>441</v>
      </c>
      <c r="B445" s="5" t="s">
        <v>1551</v>
      </c>
      <c r="C445" s="5" t="s">
        <v>763</v>
      </c>
      <c r="D445" s="5" t="s">
        <v>10</v>
      </c>
      <c r="E445" s="5" t="s">
        <v>764</v>
      </c>
      <c r="F445" s="5" t="s">
        <v>765</v>
      </c>
      <c r="G445" s="5" t="s">
        <v>1009</v>
      </c>
      <c r="H445" s="27" t="s">
        <v>1552</v>
      </c>
      <c r="I445" s="5" t="s">
        <v>13</v>
      </c>
      <c r="J445" s="5" t="s">
        <v>925</v>
      </c>
      <c r="K445" s="5" t="s">
        <v>98</v>
      </c>
    </row>
    <row r="446" spans="1:11" x14ac:dyDescent="0.3">
      <c r="A446" s="5">
        <v>442</v>
      </c>
      <c r="B446" s="5" t="s">
        <v>1553</v>
      </c>
      <c r="C446" s="5" t="s">
        <v>766</v>
      </c>
      <c r="D446" s="5" t="s">
        <v>10</v>
      </c>
      <c r="E446" s="5" t="s">
        <v>764</v>
      </c>
      <c r="F446" s="5" t="s">
        <v>767</v>
      </c>
      <c r="G446" s="5" t="s">
        <v>955</v>
      </c>
      <c r="H446" s="27" t="s">
        <v>1552</v>
      </c>
      <c r="I446" s="5" t="s">
        <v>13</v>
      </c>
      <c r="J446" s="5" t="s">
        <v>925</v>
      </c>
      <c r="K446" s="5" t="s">
        <v>14</v>
      </c>
    </row>
    <row r="447" spans="1:11" x14ac:dyDescent="0.3">
      <c r="A447" s="4">
        <v>443</v>
      </c>
      <c r="B447" s="4" t="s">
        <v>1554</v>
      </c>
      <c r="C447" s="4" t="s">
        <v>768</v>
      </c>
      <c r="D447" s="4" t="s">
        <v>10</v>
      </c>
      <c r="E447" s="4" t="s">
        <v>764</v>
      </c>
      <c r="F447" s="4" t="s">
        <v>769</v>
      </c>
      <c r="G447" s="4" t="s">
        <v>1049</v>
      </c>
      <c r="H447" s="26" t="s">
        <v>1552</v>
      </c>
      <c r="I447" s="4" t="s">
        <v>13</v>
      </c>
      <c r="J447" s="4" t="s">
        <v>926</v>
      </c>
      <c r="K447" s="4" t="s">
        <v>20</v>
      </c>
    </row>
    <row r="448" spans="1:11" x14ac:dyDescent="0.3">
      <c r="A448" s="4">
        <v>444</v>
      </c>
      <c r="B448" s="4" t="s">
        <v>1555</v>
      </c>
      <c r="C448" s="4" t="s">
        <v>770</v>
      </c>
      <c r="D448" s="4" t="s">
        <v>10</v>
      </c>
      <c r="E448" s="4" t="s">
        <v>764</v>
      </c>
      <c r="F448" s="4" t="s">
        <v>771</v>
      </c>
      <c r="G448" s="4" t="s">
        <v>1556</v>
      </c>
      <c r="H448" s="26" t="s">
        <v>1552</v>
      </c>
      <c r="I448" s="4" t="s">
        <v>13</v>
      </c>
      <c r="J448" s="4" t="s">
        <v>926</v>
      </c>
      <c r="K448" s="4" t="s">
        <v>224</v>
      </c>
    </row>
    <row r="449" spans="1:11" x14ac:dyDescent="0.3">
      <c r="A449" s="3">
        <v>445</v>
      </c>
      <c r="B449" s="3" t="s">
        <v>990</v>
      </c>
      <c r="C449" s="3" t="s">
        <v>86</v>
      </c>
      <c r="D449" s="3" t="s">
        <v>10</v>
      </c>
      <c r="E449" s="3" t="s">
        <v>764</v>
      </c>
      <c r="F449" s="3" t="s">
        <v>772</v>
      </c>
      <c r="G449" s="3" t="s">
        <v>1009</v>
      </c>
      <c r="H449" s="25" t="s">
        <v>1552</v>
      </c>
      <c r="I449" s="3" t="s">
        <v>13</v>
      </c>
      <c r="J449" s="3" t="s">
        <v>927</v>
      </c>
      <c r="K449" s="3" t="s">
        <v>14</v>
      </c>
    </row>
    <row r="450" spans="1:11" x14ac:dyDescent="0.3">
      <c r="A450" s="5">
        <v>446</v>
      </c>
      <c r="B450" s="5" t="s">
        <v>1557</v>
      </c>
      <c r="C450" s="5" t="s">
        <v>773</v>
      </c>
      <c r="D450" s="5" t="s">
        <v>10</v>
      </c>
      <c r="E450" s="5" t="s">
        <v>764</v>
      </c>
      <c r="F450" s="5" t="s">
        <v>774</v>
      </c>
      <c r="G450" s="5" t="s">
        <v>1558</v>
      </c>
      <c r="H450" s="27" t="s">
        <v>1552</v>
      </c>
      <c r="I450" s="5" t="s">
        <v>13</v>
      </c>
      <c r="J450" s="5" t="s">
        <v>925</v>
      </c>
      <c r="K450" s="5" t="s">
        <v>14</v>
      </c>
    </row>
    <row r="451" spans="1:11" x14ac:dyDescent="0.3">
      <c r="A451" s="4">
        <v>447</v>
      </c>
      <c r="B451" s="4" t="s">
        <v>1559</v>
      </c>
      <c r="C451" s="4" t="s">
        <v>775</v>
      </c>
      <c r="D451" s="4" t="s">
        <v>10</v>
      </c>
      <c r="E451" s="4" t="s">
        <v>764</v>
      </c>
      <c r="F451" s="4" t="s">
        <v>774</v>
      </c>
      <c r="G451" s="4" t="s">
        <v>955</v>
      </c>
      <c r="H451" s="26" t="s">
        <v>1552</v>
      </c>
      <c r="I451" s="4" t="s">
        <v>13</v>
      </c>
      <c r="J451" s="4" t="s">
        <v>926</v>
      </c>
      <c r="K451" s="4" t="s">
        <v>43</v>
      </c>
    </row>
    <row r="452" spans="1:11" x14ac:dyDescent="0.3">
      <c r="A452" s="5">
        <v>448</v>
      </c>
      <c r="B452" s="5" t="s">
        <v>1560</v>
      </c>
      <c r="C452" s="5" t="s">
        <v>776</v>
      </c>
      <c r="D452" s="5" t="s">
        <v>10</v>
      </c>
      <c r="E452" s="5" t="s">
        <v>764</v>
      </c>
      <c r="F452" s="5" t="s">
        <v>48</v>
      </c>
      <c r="G452" s="5" t="s">
        <v>1009</v>
      </c>
      <c r="H452" s="27" t="s">
        <v>1552</v>
      </c>
      <c r="I452" s="5" t="s">
        <v>13</v>
      </c>
      <c r="J452" s="5" t="s">
        <v>925</v>
      </c>
      <c r="K452" s="5" t="s">
        <v>777</v>
      </c>
    </row>
    <row r="453" spans="1:11" x14ac:dyDescent="0.3">
      <c r="A453" s="3">
        <v>449</v>
      </c>
      <c r="B453" s="3" t="s">
        <v>1561</v>
      </c>
      <c r="C453" s="3" t="s">
        <v>778</v>
      </c>
      <c r="D453" s="3" t="s">
        <v>10</v>
      </c>
      <c r="E453" s="3" t="s">
        <v>764</v>
      </c>
      <c r="F453" s="3" t="s">
        <v>779</v>
      </c>
      <c r="G453" s="3" t="s">
        <v>982</v>
      </c>
      <c r="H453" s="25" t="s">
        <v>1552</v>
      </c>
      <c r="I453" s="3" t="s">
        <v>13</v>
      </c>
      <c r="J453" s="3" t="s">
        <v>927</v>
      </c>
      <c r="K453" s="3" t="s">
        <v>241</v>
      </c>
    </row>
    <row r="454" spans="1:11" x14ac:dyDescent="0.3">
      <c r="A454" s="5">
        <v>450</v>
      </c>
      <c r="B454" s="5" t="s">
        <v>1562</v>
      </c>
      <c r="C454" s="5" t="s">
        <v>780</v>
      </c>
      <c r="D454" s="5" t="s">
        <v>10</v>
      </c>
      <c r="E454" s="5" t="s">
        <v>764</v>
      </c>
      <c r="F454" s="5" t="s">
        <v>774</v>
      </c>
      <c r="G454" s="5" t="s">
        <v>955</v>
      </c>
      <c r="H454" s="27" t="s">
        <v>1552</v>
      </c>
      <c r="I454" s="5" t="s">
        <v>13</v>
      </c>
      <c r="J454" s="5" t="s">
        <v>925</v>
      </c>
      <c r="K454" s="5" t="s">
        <v>43</v>
      </c>
    </row>
    <row r="455" spans="1:11" x14ac:dyDescent="0.3">
      <c r="A455" s="5">
        <v>451</v>
      </c>
      <c r="B455" s="5" t="s">
        <v>1563</v>
      </c>
      <c r="C455" s="5" t="s">
        <v>781</v>
      </c>
      <c r="D455" s="5" t="s">
        <v>10</v>
      </c>
      <c r="E455" s="5" t="s">
        <v>764</v>
      </c>
      <c r="F455" s="5" t="s">
        <v>782</v>
      </c>
      <c r="G455" s="5" t="s">
        <v>1056</v>
      </c>
      <c r="H455" s="27" t="s">
        <v>1552</v>
      </c>
      <c r="I455" s="5" t="s">
        <v>13</v>
      </c>
      <c r="J455" s="5" t="s">
        <v>925</v>
      </c>
      <c r="K455" s="5" t="s">
        <v>43</v>
      </c>
    </row>
    <row r="456" spans="1:11" x14ac:dyDescent="0.3">
      <c r="A456" s="4">
        <v>452</v>
      </c>
      <c r="B456" s="4" t="s">
        <v>1564</v>
      </c>
      <c r="C456" s="4" t="s">
        <v>783</v>
      </c>
      <c r="D456" s="4" t="s">
        <v>10</v>
      </c>
      <c r="E456" s="4" t="s">
        <v>764</v>
      </c>
      <c r="F456" s="4" t="s">
        <v>769</v>
      </c>
      <c r="G456" s="4" t="s">
        <v>1211</v>
      </c>
      <c r="H456" s="26" t="s">
        <v>1552</v>
      </c>
      <c r="I456" s="4" t="s">
        <v>13</v>
      </c>
      <c r="J456" s="4" t="s">
        <v>926</v>
      </c>
      <c r="K456" s="4" t="s">
        <v>95</v>
      </c>
    </row>
    <row r="457" spans="1:11" x14ac:dyDescent="0.3">
      <c r="A457" s="3">
        <v>453</v>
      </c>
      <c r="B457" s="3" t="s">
        <v>1565</v>
      </c>
      <c r="C457" s="3" t="s">
        <v>784</v>
      </c>
      <c r="D457" s="3" t="s">
        <v>10</v>
      </c>
      <c r="E457" s="3" t="s">
        <v>785</v>
      </c>
      <c r="F457" s="3" t="s">
        <v>69</v>
      </c>
      <c r="G457" s="3" t="s">
        <v>1152</v>
      </c>
      <c r="H457" s="25" t="s">
        <v>954</v>
      </c>
      <c r="I457" s="3" t="s">
        <v>13</v>
      </c>
      <c r="J457" s="3" t="s">
        <v>927</v>
      </c>
      <c r="K457" s="3" t="s">
        <v>20</v>
      </c>
    </row>
    <row r="458" spans="1:11" x14ac:dyDescent="0.3">
      <c r="A458" s="3">
        <v>454</v>
      </c>
      <c r="B458" s="3" t="s">
        <v>1566</v>
      </c>
      <c r="C458" s="3" t="s">
        <v>786</v>
      </c>
      <c r="D458" s="3" t="s">
        <v>10</v>
      </c>
      <c r="E458" s="3" t="s">
        <v>787</v>
      </c>
      <c r="F458" s="3" t="s">
        <v>48</v>
      </c>
      <c r="G458" s="3" t="s">
        <v>1085</v>
      </c>
      <c r="H458" s="25" t="s">
        <v>954</v>
      </c>
      <c r="I458" s="3" t="s">
        <v>13</v>
      </c>
      <c r="J458" s="3" t="s">
        <v>927</v>
      </c>
      <c r="K458" s="3" t="s">
        <v>20</v>
      </c>
    </row>
    <row r="459" spans="1:11" x14ac:dyDescent="0.3">
      <c r="A459" s="5">
        <v>455</v>
      </c>
      <c r="B459" s="5" t="s">
        <v>1567</v>
      </c>
      <c r="C459" s="5" t="s">
        <v>788</v>
      </c>
      <c r="D459" s="5" t="s">
        <v>10</v>
      </c>
      <c r="E459" s="5" t="s">
        <v>789</v>
      </c>
      <c r="F459" s="5" t="s">
        <v>790</v>
      </c>
      <c r="G459" s="5" t="s">
        <v>1332</v>
      </c>
      <c r="H459" s="27" t="s">
        <v>1024</v>
      </c>
      <c r="I459" s="5" t="s">
        <v>13</v>
      </c>
      <c r="J459" s="5" t="s">
        <v>925</v>
      </c>
      <c r="K459" s="5" t="s">
        <v>777</v>
      </c>
    </row>
    <row r="460" spans="1:11" x14ac:dyDescent="0.3">
      <c r="A460" s="3">
        <v>456</v>
      </c>
      <c r="B460" s="3" t="s">
        <v>931</v>
      </c>
      <c r="C460" s="3" t="s">
        <v>791</v>
      </c>
      <c r="D460" s="3" t="s">
        <v>10</v>
      </c>
      <c r="E460" s="3" t="s">
        <v>792</v>
      </c>
      <c r="F460" s="3" t="s">
        <v>793</v>
      </c>
      <c r="G460" s="3" t="s">
        <v>955</v>
      </c>
      <c r="H460" s="25" t="s">
        <v>1024</v>
      </c>
      <c r="I460" s="3" t="s">
        <v>13</v>
      </c>
      <c r="J460" s="3" t="s">
        <v>927</v>
      </c>
      <c r="K460" s="3" t="s">
        <v>14</v>
      </c>
    </row>
    <row r="461" spans="1:11" x14ac:dyDescent="0.3">
      <c r="A461" s="5">
        <v>457</v>
      </c>
      <c r="B461" s="5" t="s">
        <v>1568</v>
      </c>
      <c r="C461" s="5" t="s">
        <v>794</v>
      </c>
      <c r="D461" s="5" t="s">
        <v>10</v>
      </c>
      <c r="E461" s="5" t="s">
        <v>792</v>
      </c>
      <c r="F461" s="5" t="s">
        <v>286</v>
      </c>
      <c r="G461" s="5" t="s">
        <v>965</v>
      </c>
      <c r="H461" s="27" t="s">
        <v>1024</v>
      </c>
      <c r="I461" s="5" t="s">
        <v>13</v>
      </c>
      <c r="J461" s="5" t="s">
        <v>925</v>
      </c>
      <c r="K461" s="5" t="s">
        <v>14</v>
      </c>
    </row>
    <row r="462" spans="1:11" x14ac:dyDescent="0.3">
      <c r="A462" s="4">
        <v>458</v>
      </c>
      <c r="B462" s="4" t="s">
        <v>1569</v>
      </c>
      <c r="C462" s="4" t="s">
        <v>795</v>
      </c>
      <c r="D462" s="4" t="s">
        <v>10</v>
      </c>
      <c r="E462" s="4" t="s">
        <v>792</v>
      </c>
      <c r="F462" s="4" t="s">
        <v>796</v>
      </c>
      <c r="G462" s="4" t="s">
        <v>1007</v>
      </c>
      <c r="H462" s="26" t="s">
        <v>1024</v>
      </c>
      <c r="I462" s="4" t="s">
        <v>13</v>
      </c>
      <c r="J462" s="4" t="s">
        <v>926</v>
      </c>
      <c r="K462" s="4" t="s">
        <v>14</v>
      </c>
    </row>
    <row r="463" spans="1:11" x14ac:dyDescent="0.3">
      <c r="A463" s="5">
        <v>459</v>
      </c>
      <c r="B463" s="5" t="s">
        <v>1570</v>
      </c>
      <c r="C463" s="5" t="s">
        <v>797</v>
      </c>
      <c r="D463" s="5" t="s">
        <v>10</v>
      </c>
      <c r="E463" s="5" t="s">
        <v>792</v>
      </c>
      <c r="F463" s="5" t="s">
        <v>798</v>
      </c>
      <c r="G463" s="5" t="s">
        <v>955</v>
      </c>
      <c r="H463" s="27" t="s">
        <v>1024</v>
      </c>
      <c r="I463" s="5" t="s">
        <v>13</v>
      </c>
      <c r="J463" s="5" t="s">
        <v>925</v>
      </c>
      <c r="K463" s="5" t="s">
        <v>224</v>
      </c>
    </row>
    <row r="464" spans="1:11" x14ac:dyDescent="0.3">
      <c r="A464" s="3">
        <v>460</v>
      </c>
      <c r="B464" s="3" t="s">
        <v>1571</v>
      </c>
      <c r="C464" s="3" t="s">
        <v>307</v>
      </c>
      <c r="D464" s="3" t="s">
        <v>10</v>
      </c>
      <c r="E464" s="3" t="s">
        <v>792</v>
      </c>
      <c r="F464" s="3" t="s">
        <v>798</v>
      </c>
      <c r="G464" s="3" t="s">
        <v>1572</v>
      </c>
      <c r="H464" s="25" t="s">
        <v>1024</v>
      </c>
      <c r="I464" s="3" t="s">
        <v>13</v>
      </c>
      <c r="J464" s="3" t="s">
        <v>927</v>
      </c>
      <c r="K464" s="3" t="s">
        <v>20</v>
      </c>
    </row>
    <row r="465" spans="1:11" x14ac:dyDescent="0.3">
      <c r="A465" s="4">
        <v>461</v>
      </c>
      <c r="B465" s="4" t="s">
        <v>1573</v>
      </c>
      <c r="C465" s="4" t="s">
        <v>799</v>
      </c>
      <c r="D465" s="4" t="s">
        <v>10</v>
      </c>
      <c r="E465" s="4" t="s">
        <v>792</v>
      </c>
      <c r="F465" s="4" t="s">
        <v>793</v>
      </c>
      <c r="G465" s="4" t="s">
        <v>1370</v>
      </c>
      <c r="H465" s="26" t="s">
        <v>1024</v>
      </c>
      <c r="I465" s="4" t="s">
        <v>13</v>
      </c>
      <c r="J465" s="4" t="s">
        <v>926</v>
      </c>
      <c r="K465" s="4" t="s">
        <v>224</v>
      </c>
    </row>
    <row r="466" spans="1:11" x14ac:dyDescent="0.3">
      <c r="A466" s="4">
        <v>462</v>
      </c>
      <c r="B466" s="4" t="s">
        <v>959</v>
      </c>
      <c r="C466" s="4" t="s">
        <v>800</v>
      </c>
      <c r="D466" s="4" t="s">
        <v>10</v>
      </c>
      <c r="E466" s="4" t="s">
        <v>792</v>
      </c>
      <c r="F466" s="4" t="s">
        <v>793</v>
      </c>
      <c r="G466" s="4" t="s">
        <v>955</v>
      </c>
      <c r="H466" s="26" t="s">
        <v>1024</v>
      </c>
      <c r="I466" s="4" t="s">
        <v>13</v>
      </c>
      <c r="J466" s="4" t="s">
        <v>926</v>
      </c>
      <c r="K466" s="4" t="s">
        <v>20</v>
      </c>
    </row>
    <row r="467" spans="1:11" x14ac:dyDescent="0.3">
      <c r="A467" s="4">
        <v>463</v>
      </c>
      <c r="B467" s="4" t="s">
        <v>1574</v>
      </c>
      <c r="C467" s="4" t="s">
        <v>801</v>
      </c>
      <c r="D467" s="4" t="s">
        <v>10</v>
      </c>
      <c r="E467" s="4" t="s">
        <v>792</v>
      </c>
      <c r="F467" s="4" t="s">
        <v>798</v>
      </c>
      <c r="G467" s="4" t="s">
        <v>957</v>
      </c>
      <c r="H467" s="26" t="s">
        <v>1024</v>
      </c>
      <c r="I467" s="4" t="s">
        <v>13</v>
      </c>
      <c r="J467" s="4" t="s">
        <v>926</v>
      </c>
      <c r="K467" s="4" t="s">
        <v>165</v>
      </c>
    </row>
    <row r="468" spans="1:11" x14ac:dyDescent="0.3">
      <c r="A468" s="4">
        <v>464</v>
      </c>
      <c r="B468" s="4" t="s">
        <v>1575</v>
      </c>
      <c r="C468" s="4" t="s">
        <v>802</v>
      </c>
      <c r="D468" s="4" t="s">
        <v>10</v>
      </c>
      <c r="E468" s="4" t="s">
        <v>792</v>
      </c>
      <c r="F468" s="4" t="s">
        <v>796</v>
      </c>
      <c r="G468" s="4" t="s">
        <v>944</v>
      </c>
      <c r="H468" s="26" t="s">
        <v>1024</v>
      </c>
      <c r="I468" s="4" t="s">
        <v>13</v>
      </c>
      <c r="J468" s="4" t="s">
        <v>926</v>
      </c>
      <c r="K468" s="4" t="s">
        <v>20</v>
      </c>
    </row>
    <row r="469" spans="1:11" x14ac:dyDescent="0.3">
      <c r="A469" s="4">
        <v>465</v>
      </c>
      <c r="B469" s="4" t="s">
        <v>1576</v>
      </c>
      <c r="C469" s="4" t="s">
        <v>803</v>
      </c>
      <c r="D469" s="4" t="s">
        <v>10</v>
      </c>
      <c r="E469" s="4" t="s">
        <v>792</v>
      </c>
      <c r="F469" s="4" t="s">
        <v>798</v>
      </c>
      <c r="G469" s="4" t="s">
        <v>1084</v>
      </c>
      <c r="H469" s="26" t="s">
        <v>1024</v>
      </c>
      <c r="I469" s="4" t="s">
        <v>13</v>
      </c>
      <c r="J469" s="4" t="s">
        <v>926</v>
      </c>
      <c r="K469" s="4" t="s">
        <v>224</v>
      </c>
    </row>
    <row r="470" spans="1:11" x14ac:dyDescent="0.3">
      <c r="A470" s="4">
        <v>466</v>
      </c>
      <c r="B470" s="4" t="s">
        <v>1577</v>
      </c>
      <c r="C470" s="4" t="s">
        <v>804</v>
      </c>
      <c r="D470" s="4" t="s">
        <v>10</v>
      </c>
      <c r="E470" s="4" t="s">
        <v>792</v>
      </c>
      <c r="F470" s="4" t="s">
        <v>793</v>
      </c>
      <c r="G470" s="4" t="s">
        <v>955</v>
      </c>
      <c r="H470" s="26" t="s">
        <v>1024</v>
      </c>
      <c r="I470" s="4" t="s">
        <v>13</v>
      </c>
      <c r="J470" s="4" t="s">
        <v>926</v>
      </c>
      <c r="K470" s="4" t="s">
        <v>43</v>
      </c>
    </row>
    <row r="471" spans="1:11" x14ac:dyDescent="0.3">
      <c r="A471" s="4">
        <v>467</v>
      </c>
      <c r="B471" s="4" t="s">
        <v>1578</v>
      </c>
      <c r="C471" s="4" t="s">
        <v>805</v>
      </c>
      <c r="D471" s="4" t="s">
        <v>10</v>
      </c>
      <c r="E471" s="4" t="s">
        <v>792</v>
      </c>
      <c r="F471" s="4" t="s">
        <v>806</v>
      </c>
      <c r="G471" s="4" t="s">
        <v>1136</v>
      </c>
      <c r="H471" s="26" t="s">
        <v>1024</v>
      </c>
      <c r="I471" s="4" t="s">
        <v>13</v>
      </c>
      <c r="J471" s="4" t="s">
        <v>926</v>
      </c>
      <c r="K471" s="4" t="s">
        <v>14</v>
      </c>
    </row>
    <row r="472" spans="1:11" x14ac:dyDescent="0.3">
      <c r="A472" s="4">
        <v>468</v>
      </c>
      <c r="B472" s="4" t="s">
        <v>1579</v>
      </c>
      <c r="C472" s="4" t="s">
        <v>805</v>
      </c>
      <c r="D472" s="4" t="s">
        <v>10</v>
      </c>
      <c r="E472" s="4" t="s">
        <v>792</v>
      </c>
      <c r="F472" s="4" t="s">
        <v>806</v>
      </c>
      <c r="G472" s="4" t="s">
        <v>1136</v>
      </c>
      <c r="H472" s="26" t="s">
        <v>1024</v>
      </c>
      <c r="I472" s="4" t="s">
        <v>13</v>
      </c>
      <c r="J472" s="4" t="s">
        <v>926</v>
      </c>
      <c r="K472" s="4" t="s">
        <v>43</v>
      </c>
    </row>
    <row r="473" spans="1:11" x14ac:dyDescent="0.3">
      <c r="A473" s="4">
        <v>469</v>
      </c>
      <c r="B473" s="4" t="s">
        <v>1580</v>
      </c>
      <c r="C473" s="4" t="s">
        <v>807</v>
      </c>
      <c r="D473" s="4" t="s">
        <v>10</v>
      </c>
      <c r="E473" s="4" t="s">
        <v>792</v>
      </c>
      <c r="F473" s="4" t="s">
        <v>808</v>
      </c>
      <c r="G473" s="4" t="s">
        <v>965</v>
      </c>
      <c r="H473" s="26" t="s">
        <v>1024</v>
      </c>
      <c r="I473" s="4" t="s">
        <v>13</v>
      </c>
      <c r="J473" s="4" t="s">
        <v>926</v>
      </c>
      <c r="K473" s="4" t="s">
        <v>224</v>
      </c>
    </row>
    <row r="474" spans="1:11" x14ac:dyDescent="0.3">
      <c r="A474" s="4">
        <v>470</v>
      </c>
      <c r="B474" s="4" t="s">
        <v>1581</v>
      </c>
      <c r="C474" s="4" t="s">
        <v>809</v>
      </c>
      <c r="D474" s="4" t="s">
        <v>10</v>
      </c>
      <c r="E474" s="4" t="s">
        <v>792</v>
      </c>
      <c r="F474" s="4" t="s">
        <v>810</v>
      </c>
      <c r="G474" s="4" t="s">
        <v>993</v>
      </c>
      <c r="H474" s="26" t="s">
        <v>1024</v>
      </c>
      <c r="I474" s="4" t="s">
        <v>13</v>
      </c>
      <c r="J474" s="4" t="s">
        <v>926</v>
      </c>
      <c r="K474" s="4" t="s">
        <v>14</v>
      </c>
    </row>
    <row r="475" spans="1:11" x14ac:dyDescent="0.3">
      <c r="A475" s="5">
        <v>471</v>
      </c>
      <c r="B475" s="5" t="s">
        <v>1582</v>
      </c>
      <c r="C475" s="5" t="s">
        <v>811</v>
      </c>
      <c r="D475" s="5" t="s">
        <v>10</v>
      </c>
      <c r="E475" s="5" t="s">
        <v>812</v>
      </c>
      <c r="F475" s="5" t="s">
        <v>813</v>
      </c>
      <c r="G475" s="5" t="s">
        <v>1095</v>
      </c>
      <c r="H475" s="27" t="s">
        <v>977</v>
      </c>
      <c r="I475" s="5" t="s">
        <v>13</v>
      </c>
      <c r="J475" s="5" t="s">
        <v>925</v>
      </c>
      <c r="K475" s="5" t="s">
        <v>814</v>
      </c>
    </row>
    <row r="476" spans="1:11" x14ac:dyDescent="0.3">
      <c r="A476" s="3">
        <v>472</v>
      </c>
      <c r="B476" s="3" t="s">
        <v>990</v>
      </c>
      <c r="C476" s="3" t="s">
        <v>86</v>
      </c>
      <c r="D476" s="3" t="s">
        <v>10</v>
      </c>
      <c r="E476" s="3" t="s">
        <v>812</v>
      </c>
      <c r="F476" s="3" t="s">
        <v>48</v>
      </c>
      <c r="G476" s="3" t="s">
        <v>1583</v>
      </c>
      <c r="H476" s="25" t="s">
        <v>977</v>
      </c>
      <c r="I476" s="3" t="s">
        <v>13</v>
      </c>
      <c r="J476" s="3" t="s">
        <v>927</v>
      </c>
      <c r="K476" s="3" t="s">
        <v>14</v>
      </c>
    </row>
    <row r="477" spans="1:11" x14ac:dyDescent="0.3">
      <c r="A477" s="3">
        <v>473</v>
      </c>
      <c r="B477" s="3" t="s">
        <v>1584</v>
      </c>
      <c r="C477" s="3" t="s">
        <v>815</v>
      </c>
      <c r="D477" s="3" t="s">
        <v>10</v>
      </c>
      <c r="E477" s="3" t="s">
        <v>812</v>
      </c>
      <c r="F477" s="3" t="s">
        <v>87</v>
      </c>
      <c r="G477" s="3" t="s">
        <v>1585</v>
      </c>
      <c r="H477" s="25" t="s">
        <v>977</v>
      </c>
      <c r="I477" s="3" t="s">
        <v>13</v>
      </c>
      <c r="J477" s="3" t="s">
        <v>927</v>
      </c>
      <c r="K477" s="3" t="s">
        <v>14</v>
      </c>
    </row>
    <row r="478" spans="1:11" x14ac:dyDescent="0.3">
      <c r="A478" s="5">
        <v>474</v>
      </c>
      <c r="B478" s="5" t="s">
        <v>1586</v>
      </c>
      <c r="C478" s="5" t="s">
        <v>816</v>
      </c>
      <c r="D478" s="5" t="s">
        <v>10</v>
      </c>
      <c r="E478" s="5" t="s">
        <v>812</v>
      </c>
      <c r="F478" s="5" t="s">
        <v>253</v>
      </c>
      <c r="G478" s="5" t="s">
        <v>1045</v>
      </c>
      <c r="H478" s="27" t="s">
        <v>977</v>
      </c>
      <c r="I478" s="5" t="s">
        <v>13</v>
      </c>
      <c r="J478" s="5" t="s">
        <v>925</v>
      </c>
      <c r="K478" s="5" t="s">
        <v>14</v>
      </c>
    </row>
    <row r="479" spans="1:11" x14ac:dyDescent="0.3">
      <c r="A479" s="3">
        <v>475</v>
      </c>
      <c r="B479" s="3" t="s">
        <v>1407</v>
      </c>
      <c r="C479" s="3" t="s">
        <v>119</v>
      </c>
      <c r="D479" s="3" t="s">
        <v>10</v>
      </c>
      <c r="E479" s="3" t="s">
        <v>817</v>
      </c>
      <c r="F479" s="3" t="s">
        <v>818</v>
      </c>
      <c r="G479" s="3" t="s">
        <v>1014</v>
      </c>
      <c r="H479" s="25" t="s">
        <v>1587</v>
      </c>
      <c r="I479" s="3" t="s">
        <v>13</v>
      </c>
      <c r="J479" s="3" t="s">
        <v>927</v>
      </c>
      <c r="K479" s="3" t="s">
        <v>14</v>
      </c>
    </row>
    <row r="480" spans="1:11" x14ac:dyDescent="0.3">
      <c r="A480" s="3">
        <v>476</v>
      </c>
      <c r="B480" s="3" t="s">
        <v>1000</v>
      </c>
      <c r="C480" s="3" t="s">
        <v>819</v>
      </c>
      <c r="D480" s="3" t="s">
        <v>10</v>
      </c>
      <c r="E480" s="3" t="s">
        <v>817</v>
      </c>
      <c r="F480" s="3" t="s">
        <v>820</v>
      </c>
      <c r="G480" s="3" t="s">
        <v>1005</v>
      </c>
      <c r="H480" s="25" t="s">
        <v>1587</v>
      </c>
      <c r="I480" s="3" t="s">
        <v>13</v>
      </c>
      <c r="J480" s="3" t="s">
        <v>927</v>
      </c>
      <c r="K480" s="3" t="s">
        <v>14</v>
      </c>
    </row>
    <row r="481" spans="1:11" x14ac:dyDescent="0.3">
      <c r="A481" s="3">
        <v>477</v>
      </c>
      <c r="B481" s="3" t="s">
        <v>990</v>
      </c>
      <c r="C481" s="3" t="s">
        <v>86</v>
      </c>
      <c r="D481" s="3" t="s">
        <v>10</v>
      </c>
      <c r="E481" s="3" t="s">
        <v>821</v>
      </c>
      <c r="F481" s="3" t="s">
        <v>822</v>
      </c>
      <c r="G481" s="3" t="s">
        <v>1056</v>
      </c>
      <c r="H481" s="25" t="s">
        <v>977</v>
      </c>
      <c r="I481" s="3" t="s">
        <v>13</v>
      </c>
      <c r="J481" s="3" t="s">
        <v>927</v>
      </c>
      <c r="K481" s="3" t="s">
        <v>14</v>
      </c>
    </row>
    <row r="482" spans="1:11" x14ac:dyDescent="0.3">
      <c r="A482" s="3">
        <v>478</v>
      </c>
      <c r="B482" s="3" t="s">
        <v>990</v>
      </c>
      <c r="C482" s="3" t="s">
        <v>86</v>
      </c>
      <c r="D482" s="3" t="s">
        <v>10</v>
      </c>
      <c r="E482" s="3" t="s">
        <v>821</v>
      </c>
      <c r="F482" s="3" t="s">
        <v>823</v>
      </c>
      <c r="G482" s="3" t="s">
        <v>980</v>
      </c>
      <c r="H482" s="25" t="s">
        <v>977</v>
      </c>
      <c r="I482" s="3" t="s">
        <v>13</v>
      </c>
      <c r="J482" s="3" t="s">
        <v>927</v>
      </c>
      <c r="K482" s="3" t="s">
        <v>14</v>
      </c>
    </row>
    <row r="483" spans="1:11" x14ac:dyDescent="0.3">
      <c r="A483" s="4">
        <v>479</v>
      </c>
      <c r="B483" s="4" t="s">
        <v>1588</v>
      </c>
      <c r="C483" s="4" t="s">
        <v>824</v>
      </c>
      <c r="D483" s="4" t="s">
        <v>10</v>
      </c>
      <c r="E483" s="4" t="s">
        <v>825</v>
      </c>
      <c r="F483" s="4" t="s">
        <v>826</v>
      </c>
      <c r="G483" s="4" t="s">
        <v>957</v>
      </c>
      <c r="H483" s="26" t="s">
        <v>954</v>
      </c>
      <c r="I483" s="4" t="s">
        <v>13</v>
      </c>
      <c r="J483" s="4" t="s">
        <v>926</v>
      </c>
      <c r="K483" s="4" t="s">
        <v>14</v>
      </c>
    </row>
    <row r="484" spans="1:11" x14ac:dyDescent="0.3">
      <c r="A484" s="5">
        <v>480</v>
      </c>
      <c r="B484" s="5" t="s">
        <v>1062</v>
      </c>
      <c r="C484" s="5" t="s">
        <v>827</v>
      </c>
      <c r="D484" s="5" t="s">
        <v>10</v>
      </c>
      <c r="E484" s="5" t="s">
        <v>825</v>
      </c>
      <c r="F484" s="5" t="s">
        <v>828</v>
      </c>
      <c r="G484" s="5" t="s">
        <v>1130</v>
      </c>
      <c r="H484" s="27" t="s">
        <v>954</v>
      </c>
      <c r="I484" s="5" t="s">
        <v>13</v>
      </c>
      <c r="J484" s="5" t="s">
        <v>925</v>
      </c>
      <c r="K484" s="5" t="s">
        <v>829</v>
      </c>
    </row>
    <row r="485" spans="1:11" x14ac:dyDescent="0.3">
      <c r="A485" s="4">
        <v>481</v>
      </c>
      <c r="B485" s="4" t="s">
        <v>1589</v>
      </c>
      <c r="C485" s="4" t="s">
        <v>830</v>
      </c>
      <c r="D485" s="4" t="s">
        <v>10</v>
      </c>
      <c r="E485" s="4" t="s">
        <v>825</v>
      </c>
      <c r="F485" s="4" t="s">
        <v>831</v>
      </c>
      <c r="G485" s="4" t="s">
        <v>1590</v>
      </c>
      <c r="H485" s="26" t="s">
        <v>954</v>
      </c>
      <c r="I485" s="4" t="s">
        <v>13</v>
      </c>
      <c r="J485" s="4" t="s">
        <v>926</v>
      </c>
      <c r="K485" s="4" t="s">
        <v>224</v>
      </c>
    </row>
    <row r="486" spans="1:11" x14ac:dyDescent="0.3">
      <c r="A486" s="3">
        <v>482</v>
      </c>
      <c r="B486" s="3" t="s">
        <v>931</v>
      </c>
      <c r="C486" s="3" t="s">
        <v>54</v>
      </c>
      <c r="D486" s="3" t="s">
        <v>10</v>
      </c>
      <c r="E486" s="3" t="s">
        <v>832</v>
      </c>
      <c r="F486" s="3" t="s">
        <v>124</v>
      </c>
      <c r="G486" s="3" t="s">
        <v>1005</v>
      </c>
      <c r="H486" s="25" t="s">
        <v>1024</v>
      </c>
      <c r="I486" s="3" t="s">
        <v>13</v>
      </c>
      <c r="J486" s="3" t="s">
        <v>927</v>
      </c>
      <c r="K486" s="3" t="s">
        <v>14</v>
      </c>
    </row>
    <row r="487" spans="1:11" x14ac:dyDescent="0.3">
      <c r="A487" s="5">
        <v>483</v>
      </c>
      <c r="B487" s="5" t="s">
        <v>1591</v>
      </c>
      <c r="C487" s="5" t="s">
        <v>833</v>
      </c>
      <c r="D487" s="5" t="s">
        <v>10</v>
      </c>
      <c r="E487" s="5" t="s">
        <v>832</v>
      </c>
      <c r="F487" s="5" t="s">
        <v>834</v>
      </c>
      <c r="G487" s="5" t="s">
        <v>1319</v>
      </c>
      <c r="H487" s="27" t="s">
        <v>1024</v>
      </c>
      <c r="I487" s="5" t="s">
        <v>13</v>
      </c>
      <c r="J487" s="5" t="s">
        <v>925</v>
      </c>
      <c r="K487" s="5" t="s">
        <v>205</v>
      </c>
    </row>
    <row r="488" spans="1:11" x14ac:dyDescent="0.3">
      <c r="A488" s="4">
        <v>484</v>
      </c>
      <c r="B488" s="4" t="s">
        <v>1592</v>
      </c>
      <c r="C488" s="4" t="s">
        <v>835</v>
      </c>
      <c r="D488" s="4" t="s">
        <v>10</v>
      </c>
      <c r="E488" s="4" t="s">
        <v>832</v>
      </c>
      <c r="F488" s="4" t="s">
        <v>124</v>
      </c>
      <c r="G488" s="4" t="s">
        <v>1034</v>
      </c>
      <c r="H488" s="26" t="s">
        <v>1024</v>
      </c>
      <c r="I488" s="4" t="s">
        <v>13</v>
      </c>
      <c r="J488" s="4" t="s">
        <v>926</v>
      </c>
      <c r="K488" s="4" t="s">
        <v>224</v>
      </c>
    </row>
    <row r="489" spans="1:11" x14ac:dyDescent="0.3">
      <c r="A489" s="5">
        <v>485</v>
      </c>
      <c r="B489" s="5" t="s">
        <v>1593</v>
      </c>
      <c r="C489" s="5" t="s">
        <v>836</v>
      </c>
      <c r="D489" s="5" t="s">
        <v>10</v>
      </c>
      <c r="E489" s="5" t="s">
        <v>832</v>
      </c>
      <c r="F489" s="5" t="s">
        <v>124</v>
      </c>
      <c r="G489" s="5" t="s">
        <v>1310</v>
      </c>
      <c r="H489" s="27" t="s">
        <v>1024</v>
      </c>
      <c r="I489" s="5" t="s">
        <v>13</v>
      </c>
      <c r="J489" s="5" t="s">
        <v>925</v>
      </c>
      <c r="K489" s="5" t="s">
        <v>224</v>
      </c>
    </row>
    <row r="490" spans="1:11" x14ac:dyDescent="0.3">
      <c r="A490" s="4">
        <v>486</v>
      </c>
      <c r="B490" s="4" t="s">
        <v>1594</v>
      </c>
      <c r="C490" s="4" t="s">
        <v>837</v>
      </c>
      <c r="D490" s="4" t="s">
        <v>10</v>
      </c>
      <c r="E490" s="4" t="s">
        <v>832</v>
      </c>
      <c r="F490" s="4" t="s">
        <v>838</v>
      </c>
      <c r="G490" s="4" t="s">
        <v>980</v>
      </c>
      <c r="H490" s="26" t="s">
        <v>1024</v>
      </c>
      <c r="I490" s="4" t="s">
        <v>13</v>
      </c>
      <c r="J490" s="4" t="s">
        <v>926</v>
      </c>
      <c r="K490" s="4" t="s">
        <v>20</v>
      </c>
    </row>
    <row r="491" spans="1:11" x14ac:dyDescent="0.3">
      <c r="A491" s="4">
        <v>487</v>
      </c>
      <c r="B491" s="4" t="s">
        <v>1595</v>
      </c>
      <c r="C491" s="4" t="s">
        <v>839</v>
      </c>
      <c r="D491" s="4" t="s">
        <v>10</v>
      </c>
      <c r="E491" s="4" t="s">
        <v>832</v>
      </c>
      <c r="F491" s="4" t="s">
        <v>834</v>
      </c>
      <c r="G491" s="4" t="s">
        <v>1425</v>
      </c>
      <c r="H491" s="26" t="s">
        <v>1024</v>
      </c>
      <c r="I491" s="4" t="s">
        <v>13</v>
      </c>
      <c r="J491" s="4" t="s">
        <v>926</v>
      </c>
      <c r="K491" s="4" t="s">
        <v>14</v>
      </c>
    </row>
    <row r="492" spans="1:11" x14ac:dyDescent="0.3">
      <c r="A492" s="4">
        <v>488</v>
      </c>
      <c r="B492" s="4" t="s">
        <v>1596</v>
      </c>
      <c r="C492" s="4" t="s">
        <v>840</v>
      </c>
      <c r="D492" s="4" t="s">
        <v>10</v>
      </c>
      <c r="E492" s="4" t="s">
        <v>832</v>
      </c>
      <c r="F492" s="4" t="s">
        <v>841</v>
      </c>
      <c r="G492" s="4" t="s">
        <v>999</v>
      </c>
      <c r="H492" s="26" t="s">
        <v>1024</v>
      </c>
      <c r="I492" s="4" t="s">
        <v>13</v>
      </c>
      <c r="J492" s="4" t="s">
        <v>926</v>
      </c>
      <c r="K492" s="4" t="s">
        <v>14</v>
      </c>
    </row>
    <row r="493" spans="1:11" x14ac:dyDescent="0.3">
      <c r="A493" s="3">
        <v>489</v>
      </c>
      <c r="B493" s="3" t="s">
        <v>1597</v>
      </c>
      <c r="C493" s="3" t="s">
        <v>842</v>
      </c>
      <c r="D493" s="3" t="s">
        <v>10</v>
      </c>
      <c r="E493" s="3" t="s">
        <v>843</v>
      </c>
      <c r="F493" s="3" t="s">
        <v>844</v>
      </c>
      <c r="G493" s="3" t="s">
        <v>1598</v>
      </c>
      <c r="H493" s="25" t="s">
        <v>1599</v>
      </c>
      <c r="I493" s="3" t="s">
        <v>13</v>
      </c>
      <c r="J493" s="3" t="s">
        <v>927</v>
      </c>
      <c r="K493" s="3" t="s">
        <v>845</v>
      </c>
    </row>
    <row r="494" spans="1:11" x14ac:dyDescent="0.3">
      <c r="A494" s="4">
        <v>490</v>
      </c>
      <c r="B494" s="4" t="s">
        <v>1600</v>
      </c>
      <c r="C494" s="4" t="s">
        <v>846</v>
      </c>
      <c r="D494" s="4" t="s">
        <v>10</v>
      </c>
      <c r="E494" s="4" t="s">
        <v>843</v>
      </c>
      <c r="F494" s="4" t="s">
        <v>847</v>
      </c>
      <c r="G494" s="4" t="s">
        <v>980</v>
      </c>
      <c r="H494" s="26" t="s">
        <v>1599</v>
      </c>
      <c r="I494" s="4" t="s">
        <v>13</v>
      </c>
      <c r="J494" s="4" t="s">
        <v>926</v>
      </c>
      <c r="K494" s="4" t="s">
        <v>848</v>
      </c>
    </row>
    <row r="495" spans="1:11" x14ac:dyDescent="0.3">
      <c r="A495" s="5">
        <v>491</v>
      </c>
      <c r="B495" s="5" t="s">
        <v>1601</v>
      </c>
      <c r="C495" s="5" t="s">
        <v>849</v>
      </c>
      <c r="D495" s="5" t="s">
        <v>10</v>
      </c>
      <c r="E495" s="5" t="s">
        <v>850</v>
      </c>
      <c r="F495" s="5" t="s">
        <v>240</v>
      </c>
      <c r="G495" s="5" t="s">
        <v>1085</v>
      </c>
      <c r="H495" s="27" t="s">
        <v>1602</v>
      </c>
      <c r="I495" s="5" t="s">
        <v>13</v>
      </c>
      <c r="J495" s="5" t="s">
        <v>925</v>
      </c>
      <c r="K495" s="5" t="s">
        <v>58</v>
      </c>
    </row>
    <row r="496" spans="1:11" x14ac:dyDescent="0.3">
      <c r="A496" s="4">
        <v>492</v>
      </c>
      <c r="B496" s="4" t="s">
        <v>1603</v>
      </c>
      <c r="C496" s="4" t="s">
        <v>851</v>
      </c>
      <c r="D496" s="4" t="s">
        <v>10</v>
      </c>
      <c r="E496" s="4" t="s">
        <v>852</v>
      </c>
      <c r="F496" s="4" t="s">
        <v>853</v>
      </c>
      <c r="G496" s="4" t="s">
        <v>1104</v>
      </c>
      <c r="H496" s="26" t="s">
        <v>1604</v>
      </c>
      <c r="I496" s="4" t="s">
        <v>13</v>
      </c>
      <c r="J496" s="4" t="s">
        <v>926</v>
      </c>
      <c r="K496" s="4" t="s">
        <v>43</v>
      </c>
    </row>
    <row r="497" spans="1:11" x14ac:dyDescent="0.3">
      <c r="A497" s="5">
        <v>493</v>
      </c>
      <c r="B497" s="5" t="s">
        <v>1605</v>
      </c>
      <c r="C497" s="5" t="s">
        <v>854</v>
      </c>
      <c r="D497" s="5" t="s">
        <v>10</v>
      </c>
      <c r="E497" s="5" t="s">
        <v>852</v>
      </c>
      <c r="F497" s="5" t="s">
        <v>855</v>
      </c>
      <c r="G497" s="5" t="s">
        <v>980</v>
      </c>
      <c r="H497" s="27" t="s">
        <v>1604</v>
      </c>
      <c r="I497" s="5" t="s">
        <v>13</v>
      </c>
      <c r="J497" s="5" t="s">
        <v>925</v>
      </c>
      <c r="K497" s="5" t="s">
        <v>36</v>
      </c>
    </row>
    <row r="498" spans="1:11" x14ac:dyDescent="0.3">
      <c r="A498" s="5">
        <v>494</v>
      </c>
      <c r="B498" s="5" t="s">
        <v>1606</v>
      </c>
      <c r="C498" s="5" t="s">
        <v>856</v>
      </c>
      <c r="D498" s="5" t="s">
        <v>10</v>
      </c>
      <c r="E498" s="5" t="s">
        <v>852</v>
      </c>
      <c r="F498" s="5" t="s">
        <v>857</v>
      </c>
      <c r="G498" s="5" t="s">
        <v>1122</v>
      </c>
      <c r="H498" s="27" t="s">
        <v>1604</v>
      </c>
      <c r="I498" s="5" t="s">
        <v>13</v>
      </c>
      <c r="J498" s="5" t="s">
        <v>925</v>
      </c>
      <c r="K498" s="5" t="s">
        <v>139</v>
      </c>
    </row>
    <row r="499" spans="1:11" x14ac:dyDescent="0.3">
      <c r="A499" s="4">
        <v>495</v>
      </c>
      <c r="B499" s="4" t="s">
        <v>1607</v>
      </c>
      <c r="C499" s="4" t="s">
        <v>858</v>
      </c>
      <c r="D499" s="4" t="s">
        <v>10</v>
      </c>
      <c r="E499" s="4" t="s">
        <v>852</v>
      </c>
      <c r="F499" s="4" t="s">
        <v>859</v>
      </c>
      <c r="G499" s="4" t="s">
        <v>1608</v>
      </c>
      <c r="H499" s="26" t="s">
        <v>1604</v>
      </c>
      <c r="I499" s="4" t="s">
        <v>13</v>
      </c>
      <c r="J499" s="4" t="s">
        <v>926</v>
      </c>
      <c r="K499" s="4" t="s">
        <v>43</v>
      </c>
    </row>
    <row r="500" spans="1:11" x14ac:dyDescent="0.3">
      <c r="A500" s="4">
        <v>496</v>
      </c>
      <c r="B500" s="4" t="s">
        <v>1609</v>
      </c>
      <c r="C500" s="4" t="s">
        <v>860</v>
      </c>
      <c r="D500" s="4" t="s">
        <v>10</v>
      </c>
      <c r="E500" s="4" t="s">
        <v>852</v>
      </c>
      <c r="F500" s="4" t="s">
        <v>859</v>
      </c>
      <c r="G500" s="4" t="s">
        <v>1610</v>
      </c>
      <c r="H500" s="26" t="s">
        <v>1604</v>
      </c>
      <c r="I500" s="4" t="s">
        <v>13</v>
      </c>
      <c r="J500" s="4" t="s">
        <v>926</v>
      </c>
      <c r="K500" s="4" t="s">
        <v>43</v>
      </c>
    </row>
    <row r="501" spans="1:11" x14ac:dyDescent="0.3">
      <c r="A501" s="3">
        <v>497</v>
      </c>
      <c r="B501" s="3" t="s">
        <v>1000</v>
      </c>
      <c r="C501" s="3" t="s">
        <v>861</v>
      </c>
      <c r="D501" s="3" t="s">
        <v>10</v>
      </c>
      <c r="E501" s="3" t="s">
        <v>852</v>
      </c>
      <c r="F501" s="3" t="s">
        <v>862</v>
      </c>
      <c r="G501" s="3" t="s">
        <v>1034</v>
      </c>
      <c r="H501" s="25" t="s">
        <v>1604</v>
      </c>
      <c r="I501" s="3" t="s">
        <v>13</v>
      </c>
      <c r="J501" s="3" t="s">
        <v>927</v>
      </c>
      <c r="K501" s="3" t="s">
        <v>14</v>
      </c>
    </row>
    <row r="502" spans="1:11" x14ac:dyDescent="0.3">
      <c r="A502" s="5">
        <v>498</v>
      </c>
      <c r="B502" s="5" t="s">
        <v>1611</v>
      </c>
      <c r="C502" s="5" t="s">
        <v>863</v>
      </c>
      <c r="D502" s="5" t="s">
        <v>10</v>
      </c>
      <c r="E502" s="5" t="s">
        <v>864</v>
      </c>
      <c r="F502" s="5" t="s">
        <v>865</v>
      </c>
      <c r="G502" s="5" t="s">
        <v>1298</v>
      </c>
      <c r="H502" s="27" t="s">
        <v>1612</v>
      </c>
      <c r="I502" s="5" t="s">
        <v>13</v>
      </c>
      <c r="J502" s="5" t="s">
        <v>925</v>
      </c>
      <c r="K502" s="5" t="s">
        <v>36</v>
      </c>
    </row>
    <row r="503" spans="1:11" x14ac:dyDescent="0.3">
      <c r="A503" s="4">
        <v>499</v>
      </c>
      <c r="B503" s="4" t="s">
        <v>1613</v>
      </c>
      <c r="C503" s="4" t="s">
        <v>866</v>
      </c>
      <c r="D503" s="4" t="s">
        <v>10</v>
      </c>
      <c r="E503" s="4" t="s">
        <v>867</v>
      </c>
      <c r="F503" s="4" t="s">
        <v>868</v>
      </c>
      <c r="G503" s="4" t="s">
        <v>965</v>
      </c>
      <c r="H503" s="26" t="s">
        <v>1614</v>
      </c>
      <c r="I503" s="4" t="s">
        <v>13</v>
      </c>
      <c r="J503" s="4" t="s">
        <v>926</v>
      </c>
      <c r="K503" s="4" t="s">
        <v>869</v>
      </c>
    </row>
    <row r="504" spans="1:11" x14ac:dyDescent="0.3">
      <c r="A504" s="5">
        <v>500</v>
      </c>
      <c r="B504" s="5" t="s">
        <v>1615</v>
      </c>
      <c r="C504" s="5" t="s">
        <v>870</v>
      </c>
      <c r="D504" s="5" t="s">
        <v>10</v>
      </c>
      <c r="E504" s="5" t="s">
        <v>871</v>
      </c>
      <c r="F504" s="5" t="s">
        <v>872</v>
      </c>
      <c r="G504" s="5" t="s">
        <v>955</v>
      </c>
      <c r="H504" s="27" t="s">
        <v>977</v>
      </c>
      <c r="I504" s="5" t="s">
        <v>13</v>
      </c>
      <c r="J504" s="5" t="s">
        <v>925</v>
      </c>
      <c r="K504" s="5" t="s">
        <v>873</v>
      </c>
    </row>
    <row r="505" spans="1:11" x14ac:dyDescent="0.3">
      <c r="A505" s="5">
        <v>501</v>
      </c>
      <c r="B505" s="5" t="s">
        <v>1616</v>
      </c>
      <c r="C505" s="5" t="s">
        <v>874</v>
      </c>
      <c r="D505" s="5" t="s">
        <v>10</v>
      </c>
      <c r="E505" s="5" t="s">
        <v>871</v>
      </c>
      <c r="F505" s="5" t="s">
        <v>875</v>
      </c>
      <c r="G505" s="5" t="s">
        <v>1099</v>
      </c>
      <c r="H505" s="27" t="s">
        <v>977</v>
      </c>
      <c r="I505" s="5" t="s">
        <v>13</v>
      </c>
      <c r="J505" s="5" t="s">
        <v>925</v>
      </c>
      <c r="K505" s="5" t="s">
        <v>58</v>
      </c>
    </row>
    <row r="506" spans="1:11" x14ac:dyDescent="0.3">
      <c r="A506" s="5">
        <v>502</v>
      </c>
      <c r="B506" s="5" t="s">
        <v>1617</v>
      </c>
      <c r="C506" s="5" t="s">
        <v>876</v>
      </c>
      <c r="D506" s="5" t="s">
        <v>10</v>
      </c>
      <c r="E506" s="5" t="s">
        <v>871</v>
      </c>
      <c r="F506" s="5" t="s">
        <v>877</v>
      </c>
      <c r="G506" s="5" t="s">
        <v>1040</v>
      </c>
      <c r="H506" s="27" t="s">
        <v>977</v>
      </c>
      <c r="I506" s="5" t="s">
        <v>13</v>
      </c>
      <c r="J506" s="5" t="s">
        <v>925</v>
      </c>
      <c r="K506" s="5" t="s">
        <v>14</v>
      </c>
    </row>
    <row r="507" spans="1:11" x14ac:dyDescent="0.3">
      <c r="A507" s="4">
        <v>503</v>
      </c>
      <c r="B507" s="4" t="s">
        <v>1618</v>
      </c>
      <c r="C507" s="4" t="s">
        <v>878</v>
      </c>
      <c r="D507" s="4" t="s">
        <v>10</v>
      </c>
      <c r="E507" s="4" t="s">
        <v>871</v>
      </c>
      <c r="F507" s="4" t="s">
        <v>879</v>
      </c>
      <c r="G507" s="4" t="s">
        <v>1095</v>
      </c>
      <c r="H507" s="26" t="s">
        <v>977</v>
      </c>
      <c r="I507" s="4" t="s">
        <v>13</v>
      </c>
      <c r="J507" s="4" t="s">
        <v>926</v>
      </c>
      <c r="K507" s="4" t="s">
        <v>14</v>
      </c>
    </row>
    <row r="508" spans="1:11" x14ac:dyDescent="0.3">
      <c r="A508" s="4">
        <v>504</v>
      </c>
      <c r="B508" s="4" t="s">
        <v>1619</v>
      </c>
      <c r="C508" s="4" t="s">
        <v>880</v>
      </c>
      <c r="D508" s="4" t="s">
        <v>10</v>
      </c>
      <c r="E508" s="4" t="s">
        <v>871</v>
      </c>
      <c r="F508" s="4" t="s">
        <v>679</v>
      </c>
      <c r="G508" s="4" t="s">
        <v>1620</v>
      </c>
      <c r="H508" s="26" t="s">
        <v>977</v>
      </c>
      <c r="I508" s="4" t="s">
        <v>13</v>
      </c>
      <c r="J508" s="4" t="s">
        <v>926</v>
      </c>
      <c r="K508" s="4" t="s">
        <v>14</v>
      </c>
    </row>
    <row r="509" spans="1:11" x14ac:dyDescent="0.3">
      <c r="A509" s="4">
        <v>505</v>
      </c>
      <c r="B509" s="4" t="s">
        <v>1621</v>
      </c>
      <c r="C509" s="4" t="s">
        <v>881</v>
      </c>
      <c r="D509" s="4" t="s">
        <v>10</v>
      </c>
      <c r="E509" s="4" t="s">
        <v>871</v>
      </c>
      <c r="F509" s="4" t="s">
        <v>882</v>
      </c>
      <c r="G509" s="4" t="s">
        <v>955</v>
      </c>
      <c r="H509" s="26" t="s">
        <v>977</v>
      </c>
      <c r="I509" s="4" t="s">
        <v>13</v>
      </c>
      <c r="J509" s="4" t="s">
        <v>926</v>
      </c>
      <c r="K509" s="4" t="s">
        <v>43</v>
      </c>
    </row>
    <row r="510" spans="1:11" x14ac:dyDescent="0.3">
      <c r="A510" s="5">
        <v>506</v>
      </c>
      <c r="B510" s="5" t="s">
        <v>1622</v>
      </c>
      <c r="C510" s="5" t="s">
        <v>883</v>
      </c>
      <c r="D510" s="5" t="s">
        <v>10</v>
      </c>
      <c r="E510" s="5" t="s">
        <v>884</v>
      </c>
      <c r="F510" s="5" t="s">
        <v>885</v>
      </c>
      <c r="G510" s="5" t="s">
        <v>1058</v>
      </c>
      <c r="H510" s="27" t="s">
        <v>954</v>
      </c>
      <c r="I510" s="5" t="s">
        <v>13</v>
      </c>
      <c r="J510" s="5" t="s">
        <v>925</v>
      </c>
      <c r="K510" s="5" t="s">
        <v>36</v>
      </c>
    </row>
    <row r="511" spans="1:11" x14ac:dyDescent="0.3">
      <c r="A511" s="3">
        <v>507</v>
      </c>
      <c r="B511" s="3" t="s">
        <v>931</v>
      </c>
      <c r="C511" s="3" t="s">
        <v>9</v>
      </c>
      <c r="D511" s="3" t="s">
        <v>10</v>
      </c>
      <c r="E511" s="3" t="s">
        <v>886</v>
      </c>
      <c r="F511" s="3" t="s">
        <v>887</v>
      </c>
      <c r="G511" s="3" t="s">
        <v>1005</v>
      </c>
      <c r="H511" s="25" t="s">
        <v>977</v>
      </c>
      <c r="I511" s="3" t="s">
        <v>13</v>
      </c>
      <c r="J511" s="3" t="s">
        <v>927</v>
      </c>
      <c r="K511" s="3" t="s">
        <v>20</v>
      </c>
    </row>
    <row r="512" spans="1:11" x14ac:dyDescent="0.3">
      <c r="A512" s="6">
        <v>508</v>
      </c>
      <c r="B512" s="6" t="s">
        <v>1623</v>
      </c>
      <c r="C512" s="6" t="s">
        <v>888</v>
      </c>
      <c r="D512" s="6" t="s">
        <v>10</v>
      </c>
      <c r="E512" s="6" t="s">
        <v>886</v>
      </c>
      <c r="F512" s="6" t="s">
        <v>889</v>
      </c>
      <c r="G512" s="6" t="s">
        <v>1298</v>
      </c>
      <c r="H512" s="28" t="s">
        <v>977</v>
      </c>
      <c r="I512" s="6" t="s">
        <v>13</v>
      </c>
      <c r="J512" s="6" t="s">
        <v>928</v>
      </c>
      <c r="K512" s="6" t="s">
        <v>43</v>
      </c>
    </row>
    <row r="513" spans="1:11" x14ac:dyDescent="0.3">
      <c r="A513" s="4">
        <v>509</v>
      </c>
      <c r="B513" s="4" t="s">
        <v>1624</v>
      </c>
      <c r="C513" s="4" t="s">
        <v>890</v>
      </c>
      <c r="D513" s="4" t="s">
        <v>10</v>
      </c>
      <c r="E513" s="4" t="s">
        <v>886</v>
      </c>
      <c r="F513" s="4" t="s">
        <v>891</v>
      </c>
      <c r="G513" s="4" t="s">
        <v>1625</v>
      </c>
      <c r="H513" s="26" t="s">
        <v>977</v>
      </c>
      <c r="I513" s="4" t="s">
        <v>13</v>
      </c>
      <c r="J513" s="4" t="s">
        <v>926</v>
      </c>
      <c r="K513" s="4" t="s">
        <v>20</v>
      </c>
    </row>
    <row r="514" spans="1:11" x14ac:dyDescent="0.3">
      <c r="A514" s="3">
        <v>510</v>
      </c>
      <c r="B514" s="3" t="s">
        <v>1626</v>
      </c>
      <c r="C514" s="3" t="s">
        <v>892</v>
      </c>
      <c r="D514" s="3" t="s">
        <v>10</v>
      </c>
      <c r="E514" s="3" t="s">
        <v>886</v>
      </c>
      <c r="F514" s="3" t="s">
        <v>893</v>
      </c>
      <c r="G514" s="3" t="s">
        <v>1627</v>
      </c>
      <c r="H514" s="25" t="s">
        <v>977</v>
      </c>
      <c r="I514" s="3" t="s">
        <v>13</v>
      </c>
      <c r="J514" s="3" t="s">
        <v>927</v>
      </c>
      <c r="K514" s="3" t="s">
        <v>14</v>
      </c>
    </row>
    <row r="515" spans="1:11" x14ac:dyDescent="0.3">
      <c r="A515" s="4">
        <v>511</v>
      </c>
      <c r="B515" s="4" t="s">
        <v>1628</v>
      </c>
      <c r="C515" s="4" t="s">
        <v>894</v>
      </c>
      <c r="D515" s="4" t="s">
        <v>10</v>
      </c>
      <c r="E515" s="4" t="s">
        <v>886</v>
      </c>
      <c r="F515" s="4" t="s">
        <v>895</v>
      </c>
      <c r="G515" s="4" t="s">
        <v>950</v>
      </c>
      <c r="H515" s="26" t="s">
        <v>977</v>
      </c>
      <c r="I515" s="4" t="s">
        <v>13</v>
      </c>
      <c r="J515" s="4" t="s">
        <v>926</v>
      </c>
      <c r="K515" s="4" t="s">
        <v>165</v>
      </c>
    </row>
    <row r="516" spans="1:11" x14ac:dyDescent="0.3">
      <c r="A516" s="5">
        <v>512</v>
      </c>
      <c r="B516" s="5" t="s">
        <v>1629</v>
      </c>
      <c r="C516" s="5" t="s">
        <v>896</v>
      </c>
      <c r="D516" s="5" t="s">
        <v>10</v>
      </c>
      <c r="E516" s="5" t="s">
        <v>886</v>
      </c>
      <c r="F516" s="5" t="s">
        <v>48</v>
      </c>
      <c r="G516" s="5" t="s">
        <v>1625</v>
      </c>
      <c r="H516" s="27" t="s">
        <v>977</v>
      </c>
      <c r="I516" s="5" t="s">
        <v>13</v>
      </c>
      <c r="J516" s="5" t="s">
        <v>925</v>
      </c>
      <c r="K516" s="5" t="s">
        <v>14</v>
      </c>
    </row>
    <row r="517" spans="1:11" x14ac:dyDescent="0.3">
      <c r="A517" s="5">
        <v>513</v>
      </c>
      <c r="B517" s="5" t="s">
        <v>1630</v>
      </c>
      <c r="C517" s="5" t="s">
        <v>897</v>
      </c>
      <c r="D517" s="5" t="s">
        <v>10</v>
      </c>
      <c r="E517" s="5" t="s">
        <v>886</v>
      </c>
      <c r="F517" s="5" t="s">
        <v>48</v>
      </c>
      <c r="G517" s="5" t="s">
        <v>944</v>
      </c>
      <c r="H517" s="27" t="s">
        <v>977</v>
      </c>
      <c r="I517" s="5" t="s">
        <v>13</v>
      </c>
      <c r="J517" s="5" t="s">
        <v>925</v>
      </c>
      <c r="K517" s="5" t="s">
        <v>14</v>
      </c>
    </row>
    <row r="518" spans="1:11" x14ac:dyDescent="0.3">
      <c r="A518" s="4">
        <v>514</v>
      </c>
      <c r="B518" s="4" t="s">
        <v>964</v>
      </c>
      <c r="C518" s="4" t="s">
        <v>898</v>
      </c>
      <c r="D518" s="4" t="s">
        <v>10</v>
      </c>
      <c r="E518" s="4" t="s">
        <v>886</v>
      </c>
      <c r="F518" s="4" t="s">
        <v>889</v>
      </c>
      <c r="G518" s="4" t="s">
        <v>1631</v>
      </c>
      <c r="H518" s="26" t="s">
        <v>977</v>
      </c>
      <c r="I518" s="4" t="s">
        <v>13</v>
      </c>
      <c r="J518" s="4" t="s">
        <v>926</v>
      </c>
      <c r="K518" s="4" t="s">
        <v>14</v>
      </c>
    </row>
    <row r="519" spans="1:11" x14ac:dyDescent="0.3">
      <c r="A519" s="5">
        <v>515</v>
      </c>
      <c r="B519" s="5" t="s">
        <v>1632</v>
      </c>
      <c r="C519" s="5" t="s">
        <v>899</v>
      </c>
      <c r="D519" s="5" t="s">
        <v>10</v>
      </c>
      <c r="E519" s="5" t="s">
        <v>886</v>
      </c>
      <c r="F519" s="5" t="s">
        <v>895</v>
      </c>
      <c r="G519" s="5" t="s">
        <v>1058</v>
      </c>
      <c r="H519" s="27" t="s">
        <v>977</v>
      </c>
      <c r="I519" s="5" t="s">
        <v>13</v>
      </c>
      <c r="J519" s="5" t="s">
        <v>925</v>
      </c>
      <c r="K519" s="5" t="s">
        <v>14</v>
      </c>
    </row>
    <row r="520" spans="1:11" x14ac:dyDescent="0.3">
      <c r="A520" s="5">
        <v>516</v>
      </c>
      <c r="B520" s="5" t="s">
        <v>1633</v>
      </c>
      <c r="C520" s="5" t="s">
        <v>900</v>
      </c>
      <c r="D520" s="5" t="s">
        <v>10</v>
      </c>
      <c r="E520" s="5" t="s">
        <v>886</v>
      </c>
      <c r="F520" s="5" t="s">
        <v>901</v>
      </c>
      <c r="G520" s="5" t="s">
        <v>953</v>
      </c>
      <c r="H520" s="27" t="s">
        <v>977</v>
      </c>
      <c r="I520" s="5" t="s">
        <v>13</v>
      </c>
      <c r="J520" s="5" t="s">
        <v>925</v>
      </c>
      <c r="K520" s="5" t="s">
        <v>58</v>
      </c>
    </row>
    <row r="521" spans="1:11" x14ac:dyDescent="0.3">
      <c r="A521" s="5">
        <v>517</v>
      </c>
      <c r="B521" s="5" t="s">
        <v>1634</v>
      </c>
      <c r="C521" s="5" t="s">
        <v>902</v>
      </c>
      <c r="D521" s="5" t="s">
        <v>10</v>
      </c>
      <c r="E521" s="5" t="s">
        <v>886</v>
      </c>
      <c r="F521" s="5" t="s">
        <v>903</v>
      </c>
      <c r="G521" s="5" t="s">
        <v>955</v>
      </c>
      <c r="H521" s="27" t="s">
        <v>977</v>
      </c>
      <c r="I521" s="5" t="s">
        <v>13</v>
      </c>
      <c r="J521" s="5" t="s">
        <v>925</v>
      </c>
      <c r="K521" s="5" t="s">
        <v>43</v>
      </c>
    </row>
    <row r="522" spans="1:11" x14ac:dyDescent="0.3">
      <c r="A522" s="3">
        <v>518</v>
      </c>
      <c r="B522" s="3" t="s">
        <v>1000</v>
      </c>
      <c r="C522" s="3" t="s">
        <v>904</v>
      </c>
      <c r="D522" s="3" t="s">
        <v>10</v>
      </c>
      <c r="E522" s="3" t="s">
        <v>886</v>
      </c>
      <c r="F522" s="3" t="s">
        <v>893</v>
      </c>
      <c r="G522" s="3" t="s">
        <v>1130</v>
      </c>
      <c r="H522" s="25" t="s">
        <v>977</v>
      </c>
      <c r="I522" s="3" t="s">
        <v>13</v>
      </c>
      <c r="J522" s="3" t="s">
        <v>927</v>
      </c>
      <c r="K522" s="3" t="s">
        <v>14</v>
      </c>
    </row>
    <row r="523" spans="1:11" x14ac:dyDescent="0.3">
      <c r="A523" s="5">
        <v>519</v>
      </c>
      <c r="B523" s="5" t="s">
        <v>1635</v>
      </c>
      <c r="C523" s="5" t="s">
        <v>905</v>
      </c>
      <c r="D523" s="5" t="s">
        <v>10</v>
      </c>
      <c r="E523" s="5" t="s">
        <v>906</v>
      </c>
      <c r="F523" s="5" t="s">
        <v>48</v>
      </c>
      <c r="G523" s="5" t="s">
        <v>1636</v>
      </c>
      <c r="H523" s="27" t="s">
        <v>977</v>
      </c>
      <c r="I523" s="5" t="s">
        <v>13</v>
      </c>
      <c r="J523" s="5" t="s">
        <v>925</v>
      </c>
      <c r="K523" s="5" t="s">
        <v>14</v>
      </c>
    </row>
    <row r="524" spans="1:11" x14ac:dyDescent="0.3">
      <c r="A524" s="5">
        <v>520</v>
      </c>
      <c r="B524" s="5" t="s">
        <v>1637</v>
      </c>
      <c r="C524" s="5" t="s">
        <v>907</v>
      </c>
      <c r="D524" s="5" t="s">
        <v>10</v>
      </c>
      <c r="E524" s="5" t="s">
        <v>908</v>
      </c>
      <c r="F524" s="5" t="s">
        <v>872</v>
      </c>
      <c r="G524" s="5" t="s">
        <v>946</v>
      </c>
      <c r="H524" s="27" t="s">
        <v>977</v>
      </c>
      <c r="I524" s="5" t="s">
        <v>13</v>
      </c>
      <c r="J524" s="5" t="s">
        <v>925</v>
      </c>
      <c r="K524" s="5" t="s">
        <v>118</v>
      </c>
    </row>
    <row r="525" spans="1:11" x14ac:dyDescent="0.3">
      <c r="A525" s="3">
        <v>521</v>
      </c>
      <c r="B525" s="3" t="s">
        <v>931</v>
      </c>
      <c r="C525" s="3" t="s">
        <v>101</v>
      </c>
      <c r="D525" s="3" t="s">
        <v>10</v>
      </c>
      <c r="E525" s="3" t="s">
        <v>908</v>
      </c>
      <c r="F525" s="3" t="s">
        <v>40</v>
      </c>
      <c r="G525" s="3" t="s">
        <v>957</v>
      </c>
      <c r="H525" s="25" t="s">
        <v>977</v>
      </c>
      <c r="I525" s="3" t="s">
        <v>13</v>
      </c>
      <c r="J525" s="3" t="s">
        <v>927</v>
      </c>
      <c r="K525" s="3" t="s">
        <v>14</v>
      </c>
    </row>
    <row r="526" spans="1:11" x14ac:dyDescent="0.3">
      <c r="A526" s="5">
        <v>522</v>
      </c>
      <c r="B526" s="5" t="s">
        <v>1638</v>
      </c>
      <c r="C526" s="5" t="s">
        <v>909</v>
      </c>
      <c r="D526" s="5" t="s">
        <v>10</v>
      </c>
      <c r="E526" s="5" t="s">
        <v>908</v>
      </c>
      <c r="F526" s="5" t="s">
        <v>910</v>
      </c>
      <c r="G526" s="5" t="s">
        <v>971</v>
      </c>
      <c r="H526" s="27" t="s">
        <v>977</v>
      </c>
      <c r="I526" s="5" t="s">
        <v>13</v>
      </c>
      <c r="J526" s="5" t="s">
        <v>925</v>
      </c>
      <c r="K526" s="5" t="s">
        <v>398</v>
      </c>
    </row>
    <row r="527" spans="1:11" x14ac:dyDescent="0.3">
      <c r="A527" s="5">
        <v>523</v>
      </c>
      <c r="B527" s="5" t="s">
        <v>1639</v>
      </c>
      <c r="C527" s="5" t="s">
        <v>911</v>
      </c>
      <c r="D527" s="5" t="s">
        <v>10</v>
      </c>
      <c r="E527" s="5" t="s">
        <v>908</v>
      </c>
      <c r="F527" s="5" t="s">
        <v>912</v>
      </c>
      <c r="G527" s="5" t="s">
        <v>1034</v>
      </c>
      <c r="H527" s="27" t="s">
        <v>977</v>
      </c>
      <c r="I527" s="5" t="s">
        <v>13</v>
      </c>
      <c r="J527" s="5" t="s">
        <v>925</v>
      </c>
      <c r="K527" s="5" t="s">
        <v>205</v>
      </c>
    </row>
    <row r="528" spans="1:11" x14ac:dyDescent="0.3">
      <c r="A528" s="5">
        <v>524</v>
      </c>
      <c r="B528" s="5" t="s">
        <v>1640</v>
      </c>
      <c r="C528" s="5" t="s">
        <v>913</v>
      </c>
      <c r="D528" s="5" t="s">
        <v>10</v>
      </c>
      <c r="E528" s="5" t="s">
        <v>908</v>
      </c>
      <c r="F528" s="5" t="s">
        <v>914</v>
      </c>
      <c r="G528" s="5" t="s">
        <v>1398</v>
      </c>
      <c r="H528" s="27" t="s">
        <v>977</v>
      </c>
      <c r="I528" s="5" t="s">
        <v>13</v>
      </c>
      <c r="J528" s="5" t="s">
        <v>925</v>
      </c>
      <c r="K528" s="5" t="s">
        <v>512</v>
      </c>
    </row>
    <row r="529" spans="1:11" x14ac:dyDescent="0.3">
      <c r="A529" s="3">
        <v>525</v>
      </c>
      <c r="B529" s="3" t="s">
        <v>1000</v>
      </c>
      <c r="C529" s="3" t="s">
        <v>915</v>
      </c>
      <c r="D529" s="3" t="s">
        <v>10</v>
      </c>
      <c r="E529" s="3" t="s">
        <v>908</v>
      </c>
      <c r="F529" s="3" t="s">
        <v>916</v>
      </c>
      <c r="G529" s="3" t="s">
        <v>1641</v>
      </c>
      <c r="H529" s="25" t="s">
        <v>977</v>
      </c>
      <c r="I529" s="3" t="s">
        <v>13</v>
      </c>
      <c r="J529" s="3" t="s">
        <v>927</v>
      </c>
      <c r="K529" s="3" t="s">
        <v>14</v>
      </c>
    </row>
    <row r="530" spans="1:11" x14ac:dyDescent="0.3">
      <c r="A530" s="6">
        <v>526</v>
      </c>
      <c r="B530" s="6" t="s">
        <v>1642</v>
      </c>
      <c r="C530" s="6" t="s">
        <v>917</v>
      </c>
      <c r="D530" s="6" t="s">
        <v>10</v>
      </c>
      <c r="E530" s="6" t="s">
        <v>918</v>
      </c>
      <c r="F530" s="6" t="s">
        <v>48</v>
      </c>
      <c r="G530" s="6" t="s">
        <v>965</v>
      </c>
      <c r="H530" s="28" t="s">
        <v>977</v>
      </c>
      <c r="I530" s="6" t="s">
        <v>13</v>
      </c>
      <c r="J530" s="6" t="s">
        <v>928</v>
      </c>
      <c r="K530" s="6" t="s">
        <v>205</v>
      </c>
    </row>
    <row r="531" spans="1:11" x14ac:dyDescent="0.3">
      <c r="A531" s="5">
        <v>527</v>
      </c>
      <c r="B531" s="5" t="s">
        <v>1643</v>
      </c>
      <c r="C531" s="5" t="s">
        <v>919</v>
      </c>
      <c r="D531" s="5" t="s">
        <v>10</v>
      </c>
      <c r="E531" s="5" t="s">
        <v>920</v>
      </c>
      <c r="F531" s="5" t="s">
        <v>921</v>
      </c>
      <c r="G531" s="5" t="s">
        <v>982</v>
      </c>
      <c r="H531" s="27" t="s">
        <v>1024</v>
      </c>
      <c r="I531" s="5" t="s">
        <v>13</v>
      </c>
      <c r="J531" s="5" t="s">
        <v>925</v>
      </c>
      <c r="K531" s="5" t="s">
        <v>58</v>
      </c>
    </row>
    <row r="532" spans="1:11" x14ac:dyDescent="0.3">
      <c r="A532" s="3">
        <v>528</v>
      </c>
      <c r="B532" s="3" t="s">
        <v>1644</v>
      </c>
      <c r="C532" s="3" t="s">
        <v>922</v>
      </c>
      <c r="D532" s="3" t="s">
        <v>10</v>
      </c>
      <c r="E532" s="3" t="s">
        <v>920</v>
      </c>
      <c r="F532" s="3" t="s">
        <v>69</v>
      </c>
      <c r="G532" s="3" t="s">
        <v>1645</v>
      </c>
      <c r="H532" s="25" t="s">
        <v>1024</v>
      </c>
      <c r="I532" s="3" t="s">
        <v>13</v>
      </c>
      <c r="J532" s="3" t="s">
        <v>927</v>
      </c>
      <c r="K532" s="3" t="s">
        <v>14</v>
      </c>
    </row>
  </sheetData>
  <autoFilter ref="A4:K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K51"/>
  <sheetViews>
    <sheetView workbookViewId="0">
      <selection sqref="A1:A1048576"/>
    </sheetView>
  </sheetViews>
  <sheetFormatPr defaultRowHeight="14.4" x14ac:dyDescent="0.3"/>
  <cols>
    <col min="1" max="1" width="6.44140625" bestFit="1" customWidth="1"/>
    <col min="2" max="2" width="32.5546875" bestFit="1" customWidth="1"/>
    <col min="3" max="3" width="27.109375" bestFit="1" customWidth="1"/>
    <col min="4" max="4" width="13.88671875" bestFit="1" customWidth="1"/>
    <col min="5" max="5" width="24.21875" bestFit="1" customWidth="1"/>
    <col min="6" max="6" width="33.44140625" bestFit="1" customWidth="1"/>
    <col min="7" max="7" width="6.33203125" bestFit="1" customWidth="1"/>
    <col min="8" max="8" width="6" bestFit="1" customWidth="1"/>
    <col min="9" max="9" width="8.33203125" bestFit="1" customWidth="1"/>
    <col min="10" max="10" width="46.6640625" bestFit="1" customWidth="1"/>
    <col min="11" max="11" width="52.5546875" bestFit="1" customWidth="1"/>
  </cols>
  <sheetData>
    <row r="2" spans="1:11" ht="18" x14ac:dyDescent="0.35">
      <c r="F2" s="1" t="s">
        <v>1658</v>
      </c>
    </row>
    <row r="4" spans="1:11" x14ac:dyDescent="0.3">
      <c r="A4" s="2" t="s">
        <v>1798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1646</v>
      </c>
      <c r="K4" s="2" t="s">
        <v>8</v>
      </c>
    </row>
    <row r="5" spans="1:11" x14ac:dyDescent="0.3">
      <c r="A5" s="3">
        <v>1</v>
      </c>
      <c r="B5" s="3" t="s">
        <v>1647</v>
      </c>
      <c r="C5" s="3" t="s">
        <v>1648</v>
      </c>
      <c r="D5" s="3" t="s">
        <v>1649</v>
      </c>
      <c r="E5" s="3" t="s">
        <v>1650</v>
      </c>
      <c r="F5" s="3" t="s">
        <v>1651</v>
      </c>
      <c r="G5" s="3" t="s">
        <v>1122</v>
      </c>
      <c r="H5" s="3" t="s">
        <v>1772</v>
      </c>
      <c r="I5" s="3" t="s">
        <v>13</v>
      </c>
      <c r="J5" s="3" t="s">
        <v>925</v>
      </c>
      <c r="K5" s="3" t="s">
        <v>1652</v>
      </c>
    </row>
    <row r="6" spans="1:11" x14ac:dyDescent="0.3">
      <c r="A6" s="7">
        <v>2</v>
      </c>
      <c r="B6" s="7" t="s">
        <v>1000</v>
      </c>
      <c r="C6" s="7" t="s">
        <v>1653</v>
      </c>
      <c r="D6" s="7" t="s">
        <v>1649</v>
      </c>
      <c r="E6" s="7" t="s">
        <v>1654</v>
      </c>
      <c r="F6" s="7" t="s">
        <v>1655</v>
      </c>
      <c r="G6" s="7" t="s">
        <v>1370</v>
      </c>
      <c r="H6" s="7" t="s">
        <v>1773</v>
      </c>
      <c r="I6" s="7" t="s">
        <v>13</v>
      </c>
      <c r="J6" s="7" t="s">
        <v>927</v>
      </c>
      <c r="K6" s="7" t="s">
        <v>14</v>
      </c>
    </row>
    <row r="7" spans="1:11" x14ac:dyDescent="0.3">
      <c r="A7" s="3">
        <v>3</v>
      </c>
      <c r="B7" s="3" t="s">
        <v>1656</v>
      </c>
      <c r="C7" s="3" t="s">
        <v>1657</v>
      </c>
      <c r="D7" s="3" t="s">
        <v>1649</v>
      </c>
      <c r="E7" s="3" t="s">
        <v>1658</v>
      </c>
      <c r="F7" s="3" t="s">
        <v>1659</v>
      </c>
      <c r="G7" s="3" t="s">
        <v>968</v>
      </c>
      <c r="H7" s="3" t="s">
        <v>1774</v>
      </c>
      <c r="I7" s="3" t="s">
        <v>13</v>
      </c>
      <c r="J7" s="3" t="s">
        <v>925</v>
      </c>
      <c r="K7" s="3" t="s">
        <v>58</v>
      </c>
    </row>
    <row r="8" spans="1:11" x14ac:dyDescent="0.3">
      <c r="A8" s="9">
        <v>4</v>
      </c>
      <c r="B8" s="9" t="s">
        <v>1660</v>
      </c>
      <c r="C8" s="9" t="s">
        <v>1661</v>
      </c>
      <c r="D8" s="9" t="s">
        <v>1649</v>
      </c>
      <c r="E8" s="9" t="s">
        <v>1658</v>
      </c>
      <c r="F8" s="9" t="s">
        <v>1662</v>
      </c>
      <c r="G8" s="9" t="s">
        <v>993</v>
      </c>
      <c r="H8" s="9" t="s">
        <v>1774</v>
      </c>
      <c r="I8" s="9" t="s">
        <v>13</v>
      </c>
      <c r="J8" s="9" t="s">
        <v>926</v>
      </c>
      <c r="K8" s="9" t="s">
        <v>20</v>
      </c>
    </row>
    <row r="9" spans="1:11" x14ac:dyDescent="0.3">
      <c r="A9" s="3">
        <v>5</v>
      </c>
      <c r="B9" s="3" t="s">
        <v>1663</v>
      </c>
      <c r="C9" s="3" t="s">
        <v>1664</v>
      </c>
      <c r="D9" s="3" t="s">
        <v>1649</v>
      </c>
      <c r="E9" s="3" t="s">
        <v>1658</v>
      </c>
      <c r="F9" s="3" t="s">
        <v>865</v>
      </c>
      <c r="G9" s="3" t="s">
        <v>955</v>
      </c>
      <c r="H9" s="3" t="s">
        <v>1774</v>
      </c>
      <c r="I9" s="3" t="s">
        <v>13</v>
      </c>
      <c r="J9" s="3" t="s">
        <v>925</v>
      </c>
      <c r="K9" s="3" t="s">
        <v>1665</v>
      </c>
    </row>
    <row r="10" spans="1:11" x14ac:dyDescent="0.3">
      <c r="A10" s="7">
        <v>6</v>
      </c>
      <c r="B10" s="7" t="s">
        <v>931</v>
      </c>
      <c r="C10" s="7" t="s">
        <v>54</v>
      </c>
      <c r="D10" s="7" t="s">
        <v>1649</v>
      </c>
      <c r="E10" s="7" t="s">
        <v>1658</v>
      </c>
      <c r="F10" s="7" t="s">
        <v>1666</v>
      </c>
      <c r="G10" s="7" t="s">
        <v>1775</v>
      </c>
      <c r="H10" s="7" t="s">
        <v>1774</v>
      </c>
      <c r="I10" s="7" t="s">
        <v>13</v>
      </c>
      <c r="J10" s="7" t="s">
        <v>927</v>
      </c>
      <c r="K10" s="7" t="s">
        <v>14</v>
      </c>
    </row>
    <row r="11" spans="1:11" x14ac:dyDescent="0.3">
      <c r="A11" s="9">
        <v>7</v>
      </c>
      <c r="B11" s="9" t="s">
        <v>1667</v>
      </c>
      <c r="C11" s="9" t="s">
        <v>1668</v>
      </c>
      <c r="D11" s="9" t="s">
        <v>1649</v>
      </c>
      <c r="E11" s="9" t="s">
        <v>1658</v>
      </c>
      <c r="F11" s="9" t="s">
        <v>1669</v>
      </c>
      <c r="G11" s="9" t="s">
        <v>999</v>
      </c>
      <c r="H11" s="9" t="s">
        <v>1774</v>
      </c>
      <c r="I11" s="9" t="s">
        <v>13</v>
      </c>
      <c r="J11" s="9" t="s">
        <v>926</v>
      </c>
      <c r="K11" s="9" t="s">
        <v>43</v>
      </c>
    </row>
    <row r="12" spans="1:11" x14ac:dyDescent="0.3">
      <c r="A12" s="9">
        <v>8</v>
      </c>
      <c r="B12" s="9" t="s">
        <v>1670</v>
      </c>
      <c r="C12" s="9" t="s">
        <v>1671</v>
      </c>
      <c r="D12" s="9" t="s">
        <v>1649</v>
      </c>
      <c r="E12" s="9" t="s">
        <v>1658</v>
      </c>
      <c r="F12" s="9" t="s">
        <v>1672</v>
      </c>
      <c r="G12" s="9" t="s">
        <v>1776</v>
      </c>
      <c r="H12" s="9" t="s">
        <v>1774</v>
      </c>
      <c r="I12" s="9" t="s">
        <v>13</v>
      </c>
      <c r="J12" s="9" t="s">
        <v>926</v>
      </c>
      <c r="K12" s="9" t="s">
        <v>43</v>
      </c>
    </row>
    <row r="13" spans="1:11" x14ac:dyDescent="0.3">
      <c r="A13" s="9">
        <v>9</v>
      </c>
      <c r="B13" s="9" t="s">
        <v>1673</v>
      </c>
      <c r="C13" s="9" t="s">
        <v>385</v>
      </c>
      <c r="D13" s="9" t="s">
        <v>1649</v>
      </c>
      <c r="E13" s="9" t="s">
        <v>1658</v>
      </c>
      <c r="F13" s="9" t="s">
        <v>1674</v>
      </c>
      <c r="G13" s="9" t="s">
        <v>1310</v>
      </c>
      <c r="H13" s="9" t="s">
        <v>1774</v>
      </c>
      <c r="I13" s="9" t="s">
        <v>13</v>
      </c>
      <c r="J13" s="9" t="s">
        <v>926</v>
      </c>
      <c r="K13" s="9" t="s">
        <v>14</v>
      </c>
    </row>
    <row r="14" spans="1:11" x14ac:dyDescent="0.3">
      <c r="A14" s="7">
        <v>10</v>
      </c>
      <c r="B14" s="7" t="s">
        <v>1675</v>
      </c>
      <c r="C14" s="7" t="s">
        <v>101</v>
      </c>
      <c r="D14" s="7" t="s">
        <v>1649</v>
      </c>
      <c r="E14" s="7" t="s">
        <v>1658</v>
      </c>
      <c r="F14" s="7" t="s">
        <v>1676</v>
      </c>
      <c r="G14" s="7" t="s">
        <v>1777</v>
      </c>
      <c r="H14" s="7" t="s">
        <v>1774</v>
      </c>
      <c r="I14" s="7" t="s">
        <v>13</v>
      </c>
      <c r="J14" s="7" t="s">
        <v>927</v>
      </c>
      <c r="K14" s="7" t="s">
        <v>20</v>
      </c>
    </row>
    <row r="15" spans="1:11" x14ac:dyDescent="0.3">
      <c r="A15" s="4">
        <v>11</v>
      </c>
      <c r="B15" s="4" t="s">
        <v>1138</v>
      </c>
      <c r="C15" s="4" t="s">
        <v>296</v>
      </c>
      <c r="D15" s="4" t="s">
        <v>1649</v>
      </c>
      <c r="E15" s="4" t="s">
        <v>1658</v>
      </c>
      <c r="F15" s="4" t="s">
        <v>1677</v>
      </c>
      <c r="G15" s="4" t="s">
        <v>1005</v>
      </c>
      <c r="H15" s="4" t="s">
        <v>1774</v>
      </c>
      <c r="I15" s="4" t="s">
        <v>13</v>
      </c>
      <c r="J15" s="4" t="s">
        <v>1771</v>
      </c>
      <c r="K15" s="4" t="s">
        <v>43</v>
      </c>
    </row>
    <row r="16" spans="1:11" x14ac:dyDescent="0.3">
      <c r="A16" s="3">
        <v>12</v>
      </c>
      <c r="B16" s="3" t="s">
        <v>1678</v>
      </c>
      <c r="C16" s="3" t="s">
        <v>1679</v>
      </c>
      <c r="D16" s="3" t="s">
        <v>1649</v>
      </c>
      <c r="E16" s="3" t="s">
        <v>1658</v>
      </c>
      <c r="F16" s="3" t="s">
        <v>1680</v>
      </c>
      <c r="G16" s="3" t="s">
        <v>989</v>
      </c>
      <c r="H16" s="3" t="s">
        <v>1774</v>
      </c>
      <c r="I16" s="3" t="s">
        <v>13</v>
      </c>
      <c r="J16" s="3" t="s">
        <v>925</v>
      </c>
      <c r="K16" s="3" t="s">
        <v>205</v>
      </c>
    </row>
    <row r="17" spans="1:11" x14ac:dyDescent="0.3">
      <c r="A17" s="7">
        <v>13</v>
      </c>
      <c r="B17" s="7" t="s">
        <v>1681</v>
      </c>
      <c r="C17" s="7" t="s">
        <v>119</v>
      </c>
      <c r="D17" s="7" t="s">
        <v>1649</v>
      </c>
      <c r="E17" s="7" t="s">
        <v>1658</v>
      </c>
      <c r="F17" s="7" t="s">
        <v>1682</v>
      </c>
      <c r="G17" s="7" t="s">
        <v>1458</v>
      </c>
      <c r="H17" s="7" t="s">
        <v>1774</v>
      </c>
      <c r="I17" s="7" t="s">
        <v>13</v>
      </c>
      <c r="J17" s="7" t="s">
        <v>927</v>
      </c>
      <c r="K17" s="7" t="s">
        <v>14</v>
      </c>
    </row>
    <row r="18" spans="1:11" x14ac:dyDescent="0.3">
      <c r="A18" s="3">
        <v>14</v>
      </c>
      <c r="B18" s="3" t="s">
        <v>1683</v>
      </c>
      <c r="C18" s="3" t="s">
        <v>1684</v>
      </c>
      <c r="D18" s="3" t="s">
        <v>1649</v>
      </c>
      <c r="E18" s="3" t="s">
        <v>1658</v>
      </c>
      <c r="F18" s="3" t="s">
        <v>865</v>
      </c>
      <c r="G18" s="3" t="s">
        <v>1778</v>
      </c>
      <c r="H18" s="3" t="s">
        <v>1774</v>
      </c>
      <c r="I18" s="3" t="s">
        <v>13</v>
      </c>
      <c r="J18" s="3" t="s">
        <v>925</v>
      </c>
      <c r="K18" s="3" t="s">
        <v>58</v>
      </c>
    </row>
    <row r="19" spans="1:11" x14ac:dyDescent="0.3">
      <c r="A19" s="3">
        <v>15</v>
      </c>
      <c r="B19" s="3" t="s">
        <v>1685</v>
      </c>
      <c r="C19" s="3" t="s">
        <v>1686</v>
      </c>
      <c r="D19" s="3" t="s">
        <v>1649</v>
      </c>
      <c r="E19" s="3" t="s">
        <v>1658</v>
      </c>
      <c r="F19" s="3" t="s">
        <v>1687</v>
      </c>
      <c r="G19" s="3" t="s">
        <v>1152</v>
      </c>
      <c r="H19" s="3" t="s">
        <v>1774</v>
      </c>
      <c r="I19" s="3" t="s">
        <v>13</v>
      </c>
      <c r="J19" s="3" t="s">
        <v>925</v>
      </c>
      <c r="K19" s="3" t="s">
        <v>58</v>
      </c>
    </row>
    <row r="20" spans="1:11" x14ac:dyDescent="0.3">
      <c r="A20" s="3">
        <v>16</v>
      </c>
      <c r="B20" s="3" t="s">
        <v>1688</v>
      </c>
      <c r="C20" s="3" t="s">
        <v>1689</v>
      </c>
      <c r="D20" s="3" t="s">
        <v>1649</v>
      </c>
      <c r="E20" s="3" t="s">
        <v>1658</v>
      </c>
      <c r="F20" s="3" t="s">
        <v>1690</v>
      </c>
      <c r="G20" s="3" t="s">
        <v>1040</v>
      </c>
      <c r="H20" s="3" t="s">
        <v>1774</v>
      </c>
      <c r="I20" s="3" t="s">
        <v>13</v>
      </c>
      <c r="J20" s="3" t="s">
        <v>925</v>
      </c>
      <c r="K20" s="3" t="s">
        <v>1691</v>
      </c>
    </row>
    <row r="21" spans="1:11" x14ac:dyDescent="0.3">
      <c r="A21" s="3">
        <v>17</v>
      </c>
      <c r="B21" s="3" t="s">
        <v>1692</v>
      </c>
      <c r="C21" s="3" t="s">
        <v>1693</v>
      </c>
      <c r="D21" s="3" t="s">
        <v>1649</v>
      </c>
      <c r="E21" s="3" t="s">
        <v>1658</v>
      </c>
      <c r="F21" s="3" t="s">
        <v>171</v>
      </c>
      <c r="G21" s="3" t="s">
        <v>1779</v>
      </c>
      <c r="H21" s="3" t="s">
        <v>1774</v>
      </c>
      <c r="I21" s="3" t="s">
        <v>13</v>
      </c>
      <c r="J21" s="3" t="s">
        <v>925</v>
      </c>
      <c r="K21" s="3" t="s">
        <v>205</v>
      </c>
    </row>
    <row r="22" spans="1:11" x14ac:dyDescent="0.3">
      <c r="A22" s="9">
        <v>18</v>
      </c>
      <c r="B22" s="9" t="s">
        <v>1694</v>
      </c>
      <c r="C22" s="9" t="s">
        <v>1695</v>
      </c>
      <c r="D22" s="9" t="s">
        <v>1649</v>
      </c>
      <c r="E22" s="9" t="s">
        <v>1658</v>
      </c>
      <c r="F22" s="9" t="s">
        <v>1659</v>
      </c>
      <c r="G22" s="9" t="s">
        <v>1780</v>
      </c>
      <c r="H22" s="9" t="s">
        <v>1774</v>
      </c>
      <c r="I22" s="9" t="s">
        <v>13</v>
      </c>
      <c r="J22" s="3" t="s">
        <v>926</v>
      </c>
      <c r="K22" s="9" t="s">
        <v>165</v>
      </c>
    </row>
    <row r="23" spans="1:11" x14ac:dyDescent="0.3">
      <c r="A23" s="3">
        <v>19</v>
      </c>
      <c r="B23" s="3" t="s">
        <v>1696</v>
      </c>
      <c r="C23" s="3" t="s">
        <v>1697</v>
      </c>
      <c r="D23" s="3" t="s">
        <v>1649</v>
      </c>
      <c r="E23" s="3" t="s">
        <v>1658</v>
      </c>
      <c r="F23" s="3" t="s">
        <v>1698</v>
      </c>
      <c r="G23" s="3" t="s">
        <v>1045</v>
      </c>
      <c r="H23" s="3" t="s">
        <v>1774</v>
      </c>
      <c r="I23" s="3" t="s">
        <v>13</v>
      </c>
      <c r="J23" s="3" t="s">
        <v>925</v>
      </c>
      <c r="K23" s="3" t="s">
        <v>224</v>
      </c>
    </row>
    <row r="24" spans="1:11" x14ac:dyDescent="0.3">
      <c r="A24" s="7">
        <v>20</v>
      </c>
      <c r="B24" s="7" t="s">
        <v>1000</v>
      </c>
      <c r="C24" s="7" t="s">
        <v>1699</v>
      </c>
      <c r="D24" s="7" t="s">
        <v>1649</v>
      </c>
      <c r="E24" s="7" t="s">
        <v>1658</v>
      </c>
      <c r="F24" s="7" t="s">
        <v>1700</v>
      </c>
      <c r="G24" s="7" t="s">
        <v>1056</v>
      </c>
      <c r="H24" s="7" t="s">
        <v>1774</v>
      </c>
      <c r="I24" s="7" t="s">
        <v>13</v>
      </c>
      <c r="J24" s="7" t="s">
        <v>927</v>
      </c>
      <c r="K24" s="7" t="s">
        <v>1701</v>
      </c>
    </row>
    <row r="25" spans="1:11" x14ac:dyDescent="0.3">
      <c r="A25" s="7">
        <v>21</v>
      </c>
      <c r="B25" s="7" t="s">
        <v>1000</v>
      </c>
      <c r="C25" s="7" t="s">
        <v>1702</v>
      </c>
      <c r="D25" s="7" t="s">
        <v>1649</v>
      </c>
      <c r="E25" s="7" t="s">
        <v>1658</v>
      </c>
      <c r="F25" s="7" t="s">
        <v>1666</v>
      </c>
      <c r="G25" s="7" t="s">
        <v>1348</v>
      </c>
      <c r="H25" s="7" t="s">
        <v>1774</v>
      </c>
      <c r="I25" s="7" t="s">
        <v>13</v>
      </c>
      <c r="J25" s="7" t="s">
        <v>927</v>
      </c>
      <c r="K25" s="7" t="s">
        <v>195</v>
      </c>
    </row>
    <row r="26" spans="1:11" x14ac:dyDescent="0.3">
      <c r="A26" s="7">
        <v>22</v>
      </c>
      <c r="B26" s="7" t="s">
        <v>1000</v>
      </c>
      <c r="C26" s="7" t="s">
        <v>1703</v>
      </c>
      <c r="D26" s="7" t="s">
        <v>1649</v>
      </c>
      <c r="E26" s="7" t="s">
        <v>1658</v>
      </c>
      <c r="F26" s="7" t="s">
        <v>1659</v>
      </c>
      <c r="G26" s="7" t="s">
        <v>1781</v>
      </c>
      <c r="H26" s="7" t="s">
        <v>1774</v>
      </c>
      <c r="I26" s="7" t="s">
        <v>13</v>
      </c>
      <c r="J26" s="7" t="s">
        <v>927</v>
      </c>
      <c r="K26" s="7" t="s">
        <v>14</v>
      </c>
    </row>
    <row r="27" spans="1:11" x14ac:dyDescent="0.3">
      <c r="A27" s="3">
        <v>23</v>
      </c>
      <c r="B27" s="3" t="s">
        <v>1704</v>
      </c>
      <c r="C27" s="3" t="s">
        <v>1705</v>
      </c>
      <c r="D27" s="3" t="s">
        <v>1649</v>
      </c>
      <c r="E27" s="3" t="s">
        <v>1658</v>
      </c>
      <c r="F27" s="3" t="s">
        <v>1674</v>
      </c>
      <c r="G27" s="3" t="s">
        <v>1782</v>
      </c>
      <c r="H27" s="3" t="s">
        <v>1774</v>
      </c>
      <c r="I27" s="3" t="s">
        <v>13</v>
      </c>
      <c r="J27" s="3" t="s">
        <v>925</v>
      </c>
      <c r="K27" s="3" t="s">
        <v>14</v>
      </c>
    </row>
    <row r="28" spans="1:11" x14ac:dyDescent="0.3">
      <c r="A28" s="7">
        <v>24</v>
      </c>
      <c r="B28" s="7" t="s">
        <v>931</v>
      </c>
      <c r="C28" s="7" t="s">
        <v>54</v>
      </c>
      <c r="D28" s="7" t="s">
        <v>1649</v>
      </c>
      <c r="E28" s="7" t="s">
        <v>1706</v>
      </c>
      <c r="F28" s="7" t="s">
        <v>1707</v>
      </c>
      <c r="G28" s="7" t="s">
        <v>999</v>
      </c>
      <c r="H28" s="7" t="s">
        <v>1783</v>
      </c>
      <c r="I28" s="7" t="s">
        <v>13</v>
      </c>
      <c r="J28" s="7" t="s">
        <v>927</v>
      </c>
      <c r="K28" s="7" t="s">
        <v>14</v>
      </c>
    </row>
    <row r="29" spans="1:11" x14ac:dyDescent="0.3">
      <c r="A29" s="7">
        <v>25</v>
      </c>
      <c r="B29" s="7" t="s">
        <v>1708</v>
      </c>
      <c r="C29" s="7" t="s">
        <v>1709</v>
      </c>
      <c r="D29" s="7" t="s">
        <v>1649</v>
      </c>
      <c r="E29" s="7" t="s">
        <v>1710</v>
      </c>
      <c r="F29" s="7" t="s">
        <v>1711</v>
      </c>
      <c r="G29" s="7" t="s">
        <v>1232</v>
      </c>
      <c r="H29" s="7" t="s">
        <v>1784</v>
      </c>
      <c r="I29" s="7" t="s">
        <v>13</v>
      </c>
      <c r="J29" s="7" t="s">
        <v>927</v>
      </c>
      <c r="K29" s="7" t="s">
        <v>241</v>
      </c>
    </row>
    <row r="30" spans="1:11" x14ac:dyDescent="0.3">
      <c r="A30" s="7">
        <v>26</v>
      </c>
      <c r="B30" s="7" t="s">
        <v>1626</v>
      </c>
      <c r="C30" s="7" t="s">
        <v>1712</v>
      </c>
      <c r="D30" s="7" t="s">
        <v>1649</v>
      </c>
      <c r="E30" s="7" t="s">
        <v>1710</v>
      </c>
      <c r="F30" s="7" t="s">
        <v>1713</v>
      </c>
      <c r="G30" s="7" t="s">
        <v>1065</v>
      </c>
      <c r="H30" s="7" t="s">
        <v>1784</v>
      </c>
      <c r="I30" s="7" t="s">
        <v>13</v>
      </c>
      <c r="J30" s="7" t="s">
        <v>927</v>
      </c>
      <c r="K30" s="7" t="s">
        <v>14</v>
      </c>
    </row>
    <row r="31" spans="1:11" x14ac:dyDescent="0.3">
      <c r="A31" s="7">
        <v>27</v>
      </c>
      <c r="B31" s="7" t="s">
        <v>990</v>
      </c>
      <c r="C31" s="7" t="s">
        <v>86</v>
      </c>
      <c r="D31" s="7" t="s">
        <v>1649</v>
      </c>
      <c r="E31" s="7" t="s">
        <v>1710</v>
      </c>
      <c r="F31" s="7" t="s">
        <v>1714</v>
      </c>
      <c r="G31" s="7" t="s">
        <v>993</v>
      </c>
      <c r="H31" s="7" t="s">
        <v>1784</v>
      </c>
      <c r="I31" s="7" t="s">
        <v>13</v>
      </c>
      <c r="J31" s="7" t="s">
        <v>927</v>
      </c>
      <c r="K31" s="7" t="s">
        <v>14</v>
      </c>
    </row>
    <row r="32" spans="1:11" x14ac:dyDescent="0.3">
      <c r="A32" s="3">
        <v>28</v>
      </c>
      <c r="B32" s="3" t="s">
        <v>1715</v>
      </c>
      <c r="C32" s="3" t="s">
        <v>1715</v>
      </c>
      <c r="D32" s="3" t="s">
        <v>1649</v>
      </c>
      <c r="E32" s="3" t="s">
        <v>1710</v>
      </c>
      <c r="F32" s="3" t="s">
        <v>1716</v>
      </c>
      <c r="G32" s="3" t="s">
        <v>1247</v>
      </c>
      <c r="H32" s="3" t="s">
        <v>1784</v>
      </c>
      <c r="I32" s="3" t="s">
        <v>13</v>
      </c>
      <c r="J32" s="3" t="s">
        <v>925</v>
      </c>
      <c r="K32" s="3" t="s">
        <v>14</v>
      </c>
    </row>
    <row r="33" spans="1:11" x14ac:dyDescent="0.3">
      <c r="A33" s="3">
        <v>29</v>
      </c>
      <c r="B33" s="3" t="s">
        <v>1717</v>
      </c>
      <c r="C33" s="3" t="s">
        <v>1718</v>
      </c>
      <c r="D33" s="3" t="s">
        <v>1649</v>
      </c>
      <c r="E33" s="3" t="s">
        <v>1710</v>
      </c>
      <c r="F33" s="3" t="s">
        <v>1719</v>
      </c>
      <c r="G33" s="3" t="s">
        <v>957</v>
      </c>
      <c r="H33" s="3" t="s">
        <v>1784</v>
      </c>
      <c r="I33" s="3" t="s">
        <v>13</v>
      </c>
      <c r="J33" s="3" t="s">
        <v>925</v>
      </c>
      <c r="K33" s="3" t="s">
        <v>27</v>
      </c>
    </row>
    <row r="34" spans="1:11" x14ac:dyDescent="0.3">
      <c r="A34" s="3">
        <v>30</v>
      </c>
      <c r="B34" s="3" t="s">
        <v>1720</v>
      </c>
      <c r="C34" s="3" t="s">
        <v>463</v>
      </c>
      <c r="D34" s="3" t="s">
        <v>1649</v>
      </c>
      <c r="E34" s="3" t="s">
        <v>1710</v>
      </c>
      <c r="F34" s="3" t="s">
        <v>81</v>
      </c>
      <c r="G34" s="3" t="s">
        <v>1112</v>
      </c>
      <c r="H34" s="3" t="s">
        <v>1784</v>
      </c>
      <c r="I34" s="3" t="s">
        <v>13</v>
      </c>
      <c r="J34" s="3" t="s">
        <v>925</v>
      </c>
      <c r="K34" s="3" t="s">
        <v>20</v>
      </c>
    </row>
    <row r="35" spans="1:11" x14ac:dyDescent="0.3">
      <c r="A35" s="7">
        <v>31</v>
      </c>
      <c r="B35" s="7" t="s">
        <v>1000</v>
      </c>
      <c r="C35" s="7" t="s">
        <v>1721</v>
      </c>
      <c r="D35" s="7" t="s">
        <v>1649</v>
      </c>
      <c r="E35" s="7" t="s">
        <v>1710</v>
      </c>
      <c r="F35" s="7" t="s">
        <v>1722</v>
      </c>
      <c r="G35" s="7" t="s">
        <v>1065</v>
      </c>
      <c r="H35" s="7" t="s">
        <v>1784</v>
      </c>
      <c r="I35" s="7" t="s">
        <v>13</v>
      </c>
      <c r="J35" s="7" t="s">
        <v>927</v>
      </c>
      <c r="K35" s="7" t="s">
        <v>14</v>
      </c>
    </row>
    <row r="36" spans="1:11" x14ac:dyDescent="0.3">
      <c r="A36" s="7">
        <v>32</v>
      </c>
      <c r="B36" s="7" t="s">
        <v>1000</v>
      </c>
      <c r="C36" s="7" t="s">
        <v>1723</v>
      </c>
      <c r="D36" s="7" t="s">
        <v>1649</v>
      </c>
      <c r="E36" s="7" t="s">
        <v>1710</v>
      </c>
      <c r="F36" s="7" t="s">
        <v>1724</v>
      </c>
      <c r="G36" s="7" t="s">
        <v>1785</v>
      </c>
      <c r="H36" s="7" t="s">
        <v>1784</v>
      </c>
      <c r="I36" s="7" t="s">
        <v>13</v>
      </c>
      <c r="J36" s="7" t="s">
        <v>927</v>
      </c>
      <c r="K36" s="7" t="s">
        <v>14</v>
      </c>
    </row>
    <row r="37" spans="1:11" x14ac:dyDescent="0.3">
      <c r="A37" s="9">
        <v>33</v>
      </c>
      <c r="B37" s="9" t="s">
        <v>1725</v>
      </c>
      <c r="C37" s="9" t="s">
        <v>1726</v>
      </c>
      <c r="D37" s="9" t="s">
        <v>1649</v>
      </c>
      <c r="E37" s="9" t="s">
        <v>1727</v>
      </c>
      <c r="F37" s="9" t="s">
        <v>831</v>
      </c>
      <c r="G37" s="9" t="s">
        <v>999</v>
      </c>
      <c r="H37" s="9" t="s">
        <v>1786</v>
      </c>
      <c r="I37" s="9" t="s">
        <v>13</v>
      </c>
      <c r="J37" s="9" t="s">
        <v>926</v>
      </c>
      <c r="K37" s="9" t="s">
        <v>398</v>
      </c>
    </row>
    <row r="38" spans="1:11" x14ac:dyDescent="0.3">
      <c r="A38" s="3">
        <v>34</v>
      </c>
      <c r="B38" s="3" t="s">
        <v>1728</v>
      </c>
      <c r="C38" s="3" t="s">
        <v>1729</v>
      </c>
      <c r="D38" s="3" t="s">
        <v>1649</v>
      </c>
      <c r="E38" s="3" t="s">
        <v>1727</v>
      </c>
      <c r="F38" s="3" t="s">
        <v>1730</v>
      </c>
      <c r="G38" s="3" t="s">
        <v>1099</v>
      </c>
      <c r="H38" s="3" t="s">
        <v>1786</v>
      </c>
      <c r="I38" s="3" t="s">
        <v>13</v>
      </c>
      <c r="J38" s="3" t="s">
        <v>925</v>
      </c>
      <c r="K38" s="3" t="s">
        <v>398</v>
      </c>
    </row>
    <row r="39" spans="1:11" x14ac:dyDescent="0.3">
      <c r="A39" s="3">
        <v>35</v>
      </c>
      <c r="B39" s="3" t="s">
        <v>1731</v>
      </c>
      <c r="C39" s="3" t="s">
        <v>1731</v>
      </c>
      <c r="D39" s="3" t="s">
        <v>1649</v>
      </c>
      <c r="E39" s="3" t="s">
        <v>1732</v>
      </c>
      <c r="F39" s="3" t="s">
        <v>1733</v>
      </c>
      <c r="G39" s="3" t="s">
        <v>1332</v>
      </c>
      <c r="H39" s="3" t="s">
        <v>1787</v>
      </c>
      <c r="I39" s="3" t="s">
        <v>13</v>
      </c>
      <c r="J39" s="3" t="s">
        <v>925</v>
      </c>
      <c r="K39" s="3" t="s">
        <v>20</v>
      </c>
    </row>
    <row r="40" spans="1:11" x14ac:dyDescent="0.3">
      <c r="A40" s="3">
        <v>36</v>
      </c>
      <c r="B40" s="3" t="s">
        <v>1734</v>
      </c>
      <c r="C40" s="3" t="s">
        <v>1735</v>
      </c>
      <c r="D40" s="3" t="s">
        <v>1649</v>
      </c>
      <c r="E40" s="3" t="s">
        <v>1736</v>
      </c>
      <c r="F40" s="3" t="s">
        <v>1737</v>
      </c>
      <c r="G40" s="3" t="s">
        <v>1012</v>
      </c>
      <c r="H40" s="3" t="s">
        <v>1788</v>
      </c>
      <c r="I40" s="3" t="s">
        <v>13</v>
      </c>
      <c r="J40" s="3" t="s">
        <v>925</v>
      </c>
      <c r="K40" s="3" t="s">
        <v>139</v>
      </c>
    </row>
    <row r="41" spans="1:11" x14ac:dyDescent="0.3">
      <c r="A41" s="3">
        <v>37</v>
      </c>
      <c r="B41" s="3" t="s">
        <v>1738</v>
      </c>
      <c r="C41" s="3" t="s">
        <v>1739</v>
      </c>
      <c r="D41" s="3" t="s">
        <v>1649</v>
      </c>
      <c r="E41" s="3" t="s">
        <v>1740</v>
      </c>
      <c r="F41" s="3" t="s">
        <v>1741</v>
      </c>
      <c r="G41" s="3" t="s">
        <v>962</v>
      </c>
      <c r="H41" s="3" t="s">
        <v>1789</v>
      </c>
      <c r="I41" s="3" t="s">
        <v>13</v>
      </c>
      <c r="J41" s="3" t="s">
        <v>925</v>
      </c>
      <c r="K41" s="3" t="s">
        <v>58</v>
      </c>
    </row>
    <row r="42" spans="1:11" x14ac:dyDescent="0.3">
      <c r="A42" s="9">
        <v>38</v>
      </c>
      <c r="B42" s="9" t="s">
        <v>1742</v>
      </c>
      <c r="C42" s="9" t="s">
        <v>1743</v>
      </c>
      <c r="D42" s="9" t="s">
        <v>1649</v>
      </c>
      <c r="E42" s="9" t="s">
        <v>1744</v>
      </c>
      <c r="F42" s="9" t="s">
        <v>1745</v>
      </c>
      <c r="G42" s="9" t="s">
        <v>1790</v>
      </c>
      <c r="H42" s="9" t="s">
        <v>1791</v>
      </c>
      <c r="I42" s="9" t="s">
        <v>13</v>
      </c>
      <c r="J42" s="9" t="s">
        <v>926</v>
      </c>
      <c r="K42" s="9" t="s">
        <v>14</v>
      </c>
    </row>
    <row r="43" spans="1:11" x14ac:dyDescent="0.3">
      <c r="A43" s="7">
        <v>39</v>
      </c>
      <c r="B43" s="7" t="s">
        <v>1000</v>
      </c>
      <c r="C43" s="7" t="s">
        <v>1746</v>
      </c>
      <c r="D43" s="7" t="s">
        <v>1649</v>
      </c>
      <c r="E43" s="7" t="s">
        <v>1744</v>
      </c>
      <c r="F43" s="7" t="s">
        <v>1747</v>
      </c>
      <c r="G43" s="7" t="s">
        <v>1009</v>
      </c>
      <c r="H43" s="7" t="s">
        <v>1791</v>
      </c>
      <c r="I43" s="7" t="s">
        <v>13</v>
      </c>
      <c r="J43" s="7" t="s">
        <v>927</v>
      </c>
      <c r="K43" s="7" t="s">
        <v>20</v>
      </c>
    </row>
    <row r="44" spans="1:11" x14ac:dyDescent="0.3">
      <c r="A44" s="3">
        <v>40</v>
      </c>
      <c r="B44" s="3" t="s">
        <v>1748</v>
      </c>
      <c r="C44" s="3" t="s">
        <v>1749</v>
      </c>
      <c r="D44" s="3" t="s">
        <v>1649</v>
      </c>
      <c r="E44" s="3" t="s">
        <v>1750</v>
      </c>
      <c r="F44" s="3" t="s">
        <v>1751</v>
      </c>
      <c r="G44" s="3" t="s">
        <v>957</v>
      </c>
      <c r="H44" s="3" t="s">
        <v>1792</v>
      </c>
      <c r="I44" s="3" t="s">
        <v>13</v>
      </c>
      <c r="J44" s="3" t="s">
        <v>925</v>
      </c>
      <c r="K44" s="3" t="s">
        <v>1652</v>
      </c>
    </row>
    <row r="45" spans="1:11" x14ac:dyDescent="0.3">
      <c r="A45" s="9">
        <v>41</v>
      </c>
      <c r="B45" s="9" t="s">
        <v>1752</v>
      </c>
      <c r="C45" s="9" t="s">
        <v>1753</v>
      </c>
      <c r="D45" s="9" t="s">
        <v>1649</v>
      </c>
      <c r="E45" s="9" t="s">
        <v>1754</v>
      </c>
      <c r="F45" s="9" t="s">
        <v>1674</v>
      </c>
      <c r="G45" s="9" t="s">
        <v>1793</v>
      </c>
      <c r="H45" s="9" t="s">
        <v>1794</v>
      </c>
      <c r="I45" s="9" t="s">
        <v>13</v>
      </c>
      <c r="J45" s="9" t="s">
        <v>926</v>
      </c>
      <c r="K45" s="9" t="s">
        <v>14</v>
      </c>
    </row>
    <row r="46" spans="1:11" x14ac:dyDescent="0.3">
      <c r="A46" s="3">
        <v>42</v>
      </c>
      <c r="B46" s="3" t="s">
        <v>1755</v>
      </c>
      <c r="C46" s="3" t="s">
        <v>1756</v>
      </c>
      <c r="D46" s="3" t="s">
        <v>1649</v>
      </c>
      <c r="E46" s="3" t="s">
        <v>1754</v>
      </c>
      <c r="F46" s="3" t="s">
        <v>1724</v>
      </c>
      <c r="G46" s="3" t="s">
        <v>1522</v>
      </c>
      <c r="H46" s="3" t="s">
        <v>1794</v>
      </c>
      <c r="I46" s="3" t="s">
        <v>13</v>
      </c>
      <c r="J46" s="3" t="s">
        <v>925</v>
      </c>
      <c r="K46" s="3" t="s">
        <v>165</v>
      </c>
    </row>
    <row r="47" spans="1:11" x14ac:dyDescent="0.3">
      <c r="A47" s="3">
        <v>43</v>
      </c>
      <c r="B47" s="3" t="s">
        <v>1757</v>
      </c>
      <c r="C47" s="3" t="s">
        <v>1758</v>
      </c>
      <c r="D47" s="3" t="s">
        <v>1649</v>
      </c>
      <c r="E47" s="3" t="s">
        <v>1754</v>
      </c>
      <c r="F47" s="3" t="s">
        <v>1759</v>
      </c>
      <c r="G47" s="3" t="s">
        <v>1627</v>
      </c>
      <c r="H47" s="3" t="s">
        <v>1794</v>
      </c>
      <c r="I47" s="3" t="s">
        <v>13</v>
      </c>
      <c r="J47" s="3" t="s">
        <v>925</v>
      </c>
      <c r="K47" s="3" t="s">
        <v>58</v>
      </c>
    </row>
    <row r="48" spans="1:11" x14ac:dyDescent="0.3">
      <c r="A48" s="10">
        <v>44</v>
      </c>
      <c r="B48" s="10" t="s">
        <v>1760</v>
      </c>
      <c r="C48" s="10" t="s">
        <v>1761</v>
      </c>
      <c r="D48" s="10" t="s">
        <v>1649</v>
      </c>
      <c r="E48" s="10" t="s">
        <v>1754</v>
      </c>
      <c r="F48" s="10" t="s">
        <v>1690</v>
      </c>
      <c r="G48" s="10" t="s">
        <v>1040</v>
      </c>
      <c r="H48" s="10" t="s">
        <v>1794</v>
      </c>
      <c r="I48" s="10" t="s">
        <v>13</v>
      </c>
      <c r="J48" s="10" t="s">
        <v>928</v>
      </c>
      <c r="K48" s="10" t="s">
        <v>241</v>
      </c>
    </row>
    <row r="49" spans="1:11" x14ac:dyDescent="0.3">
      <c r="A49" s="7">
        <v>45</v>
      </c>
      <c r="B49" s="7" t="s">
        <v>1762</v>
      </c>
      <c r="C49" s="7" t="s">
        <v>1763</v>
      </c>
      <c r="D49" s="7" t="s">
        <v>1649</v>
      </c>
      <c r="E49" s="7" t="s">
        <v>1764</v>
      </c>
      <c r="F49" s="7" t="s">
        <v>48</v>
      </c>
      <c r="G49" s="7" t="s">
        <v>950</v>
      </c>
      <c r="H49" s="7" t="s">
        <v>1795</v>
      </c>
      <c r="I49" s="7" t="s">
        <v>13</v>
      </c>
      <c r="J49" s="7" t="s">
        <v>927</v>
      </c>
      <c r="K49" s="7" t="s">
        <v>20</v>
      </c>
    </row>
    <row r="50" spans="1:11" x14ac:dyDescent="0.3">
      <c r="A50" s="7">
        <v>46</v>
      </c>
      <c r="B50" s="7" t="s">
        <v>1000</v>
      </c>
      <c r="C50" s="7" t="s">
        <v>1765</v>
      </c>
      <c r="D50" s="7" t="s">
        <v>1649</v>
      </c>
      <c r="E50" s="7" t="s">
        <v>1764</v>
      </c>
      <c r="F50" s="7" t="s">
        <v>1766</v>
      </c>
      <c r="G50" s="7" t="s">
        <v>1796</v>
      </c>
      <c r="H50" s="7" t="s">
        <v>1795</v>
      </c>
      <c r="I50" s="7" t="s">
        <v>13</v>
      </c>
      <c r="J50" s="7" t="s">
        <v>927</v>
      </c>
      <c r="K50" s="7" t="s">
        <v>14</v>
      </c>
    </row>
    <row r="51" spans="1:11" x14ac:dyDescent="0.3">
      <c r="A51" s="3">
        <v>47</v>
      </c>
      <c r="B51" s="3" t="s">
        <v>1767</v>
      </c>
      <c r="C51" s="3" t="s">
        <v>1768</v>
      </c>
      <c r="D51" s="3" t="s">
        <v>1649</v>
      </c>
      <c r="E51" s="3" t="s">
        <v>1769</v>
      </c>
      <c r="F51" s="3" t="s">
        <v>1770</v>
      </c>
      <c r="G51" s="3" t="s">
        <v>1252</v>
      </c>
      <c r="H51" s="3" t="s">
        <v>1797</v>
      </c>
      <c r="I51" s="3" t="s">
        <v>13</v>
      </c>
      <c r="J51" s="3" t="s">
        <v>925</v>
      </c>
      <c r="K51" s="3" t="s">
        <v>14</v>
      </c>
    </row>
  </sheetData>
  <autoFilter ref="A4:K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K257"/>
  <sheetViews>
    <sheetView workbookViewId="0">
      <selection activeCell="A4" sqref="A4:XFD4"/>
    </sheetView>
  </sheetViews>
  <sheetFormatPr defaultRowHeight="14.4" x14ac:dyDescent="0.3"/>
  <cols>
    <col min="1" max="1" width="4" bestFit="1" customWidth="1"/>
    <col min="2" max="2" width="34.33203125" bestFit="1" customWidth="1"/>
    <col min="3" max="3" width="30.88671875" bestFit="1" customWidth="1"/>
    <col min="4" max="4" width="13.88671875" bestFit="1" customWidth="1"/>
    <col min="5" max="5" width="24.33203125" bestFit="1" customWidth="1"/>
    <col min="6" max="6" width="38.77734375" bestFit="1" customWidth="1"/>
    <col min="7" max="7" width="8.6640625" bestFit="1" customWidth="1"/>
    <col min="8" max="8" width="6" bestFit="1" customWidth="1"/>
    <col min="9" max="9" width="8.33203125" bestFit="1" customWidth="1"/>
    <col min="10" max="10" width="41.33203125" bestFit="1" customWidth="1"/>
    <col min="11" max="11" width="52.5546875" bestFit="1" customWidth="1"/>
  </cols>
  <sheetData>
    <row r="2" spans="1:11" ht="18.75" x14ac:dyDescent="0.3">
      <c r="F2" s="1" t="s">
        <v>2283</v>
      </c>
    </row>
    <row r="4" spans="1:11" ht="15" x14ac:dyDescent="0.25">
      <c r="A4" s="14" t="s">
        <v>929</v>
      </c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930</v>
      </c>
      <c r="K4" s="14" t="s">
        <v>8</v>
      </c>
    </row>
    <row r="5" spans="1:11" ht="15" x14ac:dyDescent="0.25">
      <c r="A5" s="3">
        <v>1</v>
      </c>
      <c r="B5" s="3" t="s">
        <v>1799</v>
      </c>
      <c r="C5" s="3" t="s">
        <v>1800</v>
      </c>
      <c r="D5" s="3" t="s">
        <v>1801</v>
      </c>
      <c r="E5" s="3" t="s">
        <v>1802</v>
      </c>
      <c r="F5" s="3" t="s">
        <v>1803</v>
      </c>
      <c r="G5" s="3" t="s">
        <v>1214</v>
      </c>
      <c r="H5" s="3" t="s">
        <v>2432</v>
      </c>
      <c r="I5" s="3" t="s">
        <v>13</v>
      </c>
      <c r="J5" s="3" t="s">
        <v>2430</v>
      </c>
      <c r="K5" s="3" t="s">
        <v>98</v>
      </c>
    </row>
    <row r="6" spans="1:11" ht="15" x14ac:dyDescent="0.25">
      <c r="A6" s="3">
        <v>2</v>
      </c>
      <c r="B6" s="3" t="s">
        <v>1804</v>
      </c>
      <c r="C6" s="3" t="s">
        <v>1805</v>
      </c>
      <c r="D6" s="3" t="s">
        <v>1801</v>
      </c>
      <c r="E6" s="3" t="s">
        <v>1802</v>
      </c>
      <c r="F6" s="3" t="s">
        <v>1806</v>
      </c>
      <c r="G6" s="3" t="s">
        <v>2433</v>
      </c>
      <c r="H6" s="3" t="s">
        <v>2432</v>
      </c>
      <c r="I6" s="3" t="s">
        <v>13</v>
      </c>
      <c r="J6" s="3" t="s">
        <v>2430</v>
      </c>
      <c r="K6" s="3" t="s">
        <v>43</v>
      </c>
    </row>
    <row r="7" spans="1:11" ht="15" x14ac:dyDescent="0.25">
      <c r="A7" s="11">
        <v>3</v>
      </c>
      <c r="B7" s="11" t="s">
        <v>1807</v>
      </c>
      <c r="C7" s="11" t="s">
        <v>222</v>
      </c>
      <c r="D7" s="11" t="s">
        <v>1801</v>
      </c>
      <c r="E7" s="11" t="s">
        <v>1802</v>
      </c>
      <c r="F7" s="11" t="s">
        <v>916</v>
      </c>
      <c r="G7" s="11" t="s">
        <v>2434</v>
      </c>
      <c r="H7" s="11" t="s">
        <v>2432</v>
      </c>
      <c r="I7" s="11" t="s">
        <v>13</v>
      </c>
      <c r="J7" s="11" t="s">
        <v>2431</v>
      </c>
      <c r="K7" s="11" t="s">
        <v>115</v>
      </c>
    </row>
    <row r="8" spans="1:11" ht="15" x14ac:dyDescent="0.25">
      <c r="A8" s="3">
        <v>4</v>
      </c>
      <c r="B8" s="3" t="s">
        <v>1808</v>
      </c>
      <c r="C8" s="3" t="s">
        <v>255</v>
      </c>
      <c r="D8" s="3" t="s">
        <v>1801</v>
      </c>
      <c r="E8" s="3" t="s">
        <v>1802</v>
      </c>
      <c r="F8" s="3" t="s">
        <v>1806</v>
      </c>
      <c r="G8" s="3" t="s">
        <v>984</v>
      </c>
      <c r="H8" s="3" t="s">
        <v>2432</v>
      </c>
      <c r="I8" s="3" t="s">
        <v>13</v>
      </c>
      <c r="J8" s="3" t="s">
        <v>2430</v>
      </c>
      <c r="K8" s="3" t="s">
        <v>43</v>
      </c>
    </row>
    <row r="9" spans="1:11" ht="15" x14ac:dyDescent="0.25">
      <c r="A9" s="3">
        <v>5</v>
      </c>
      <c r="B9" s="3" t="s">
        <v>1809</v>
      </c>
      <c r="C9" s="3" t="s">
        <v>1810</v>
      </c>
      <c r="D9" s="3" t="s">
        <v>1801</v>
      </c>
      <c r="E9" s="3" t="s">
        <v>1811</v>
      </c>
      <c r="F9" s="3" t="s">
        <v>1812</v>
      </c>
      <c r="G9" s="3" t="s">
        <v>1166</v>
      </c>
      <c r="H9" s="3" t="s">
        <v>2435</v>
      </c>
      <c r="I9" s="3" t="s">
        <v>13</v>
      </c>
      <c r="J9" s="3" t="s">
        <v>2430</v>
      </c>
      <c r="K9" s="3" t="s">
        <v>98</v>
      </c>
    </row>
    <row r="10" spans="1:11" ht="15" x14ac:dyDescent="0.25">
      <c r="A10" s="12">
        <v>6</v>
      </c>
      <c r="B10" s="12" t="s">
        <v>1813</v>
      </c>
      <c r="C10" s="12" t="s">
        <v>1814</v>
      </c>
      <c r="D10" s="12" t="s">
        <v>1801</v>
      </c>
      <c r="E10" s="12" t="s">
        <v>1815</v>
      </c>
      <c r="F10" s="12" t="s">
        <v>1816</v>
      </c>
      <c r="G10" s="12" t="s">
        <v>1058</v>
      </c>
      <c r="H10" s="12" t="s">
        <v>2436</v>
      </c>
      <c r="I10" s="12" t="s">
        <v>13</v>
      </c>
      <c r="J10" s="12" t="s">
        <v>926</v>
      </c>
      <c r="K10" s="12" t="s">
        <v>254</v>
      </c>
    </row>
    <row r="11" spans="1:11" ht="15" x14ac:dyDescent="0.25">
      <c r="A11" s="3">
        <v>7</v>
      </c>
      <c r="B11" s="3" t="s">
        <v>1817</v>
      </c>
      <c r="C11" s="3" t="s">
        <v>1818</v>
      </c>
      <c r="D11" s="3" t="s">
        <v>1801</v>
      </c>
      <c r="E11" s="3" t="s">
        <v>1815</v>
      </c>
      <c r="F11" s="3" t="s">
        <v>1819</v>
      </c>
      <c r="G11" s="3" t="s">
        <v>1214</v>
      </c>
      <c r="H11" s="3" t="s">
        <v>2436</v>
      </c>
      <c r="I11" s="3" t="s">
        <v>13</v>
      </c>
      <c r="J11" s="3" t="s">
        <v>2430</v>
      </c>
      <c r="K11" s="3" t="s">
        <v>345</v>
      </c>
    </row>
    <row r="12" spans="1:11" ht="15" x14ac:dyDescent="0.25">
      <c r="A12" s="12">
        <v>8</v>
      </c>
      <c r="B12" s="12" t="s">
        <v>1820</v>
      </c>
      <c r="C12" s="12" t="s">
        <v>1820</v>
      </c>
      <c r="D12" s="12" t="s">
        <v>1801</v>
      </c>
      <c r="E12" s="12" t="s">
        <v>1815</v>
      </c>
      <c r="F12" s="12" t="s">
        <v>1821</v>
      </c>
      <c r="G12" s="12" t="s">
        <v>1056</v>
      </c>
      <c r="H12" s="12" t="s">
        <v>2436</v>
      </c>
      <c r="I12" s="12" t="s">
        <v>13</v>
      </c>
      <c r="J12" s="12" t="s">
        <v>926</v>
      </c>
      <c r="K12" s="12" t="s">
        <v>43</v>
      </c>
    </row>
    <row r="13" spans="1:11" ht="15" x14ac:dyDescent="0.25">
      <c r="A13" s="12">
        <v>9</v>
      </c>
      <c r="B13" s="12" t="s">
        <v>1822</v>
      </c>
      <c r="C13" s="12" t="s">
        <v>1823</v>
      </c>
      <c r="D13" s="12" t="s">
        <v>1801</v>
      </c>
      <c r="E13" s="12" t="s">
        <v>1815</v>
      </c>
      <c r="F13" s="12" t="s">
        <v>1824</v>
      </c>
      <c r="G13" s="12" t="s">
        <v>1058</v>
      </c>
      <c r="H13" s="12" t="s">
        <v>2436</v>
      </c>
      <c r="I13" s="12" t="s">
        <v>13</v>
      </c>
      <c r="J13" s="12" t="s">
        <v>926</v>
      </c>
      <c r="K13" s="12" t="s">
        <v>43</v>
      </c>
    </row>
    <row r="14" spans="1:11" ht="15" x14ac:dyDescent="0.25">
      <c r="A14" s="12">
        <v>10</v>
      </c>
      <c r="B14" s="12" t="s">
        <v>1825</v>
      </c>
      <c r="C14" s="12" t="s">
        <v>1826</v>
      </c>
      <c r="D14" s="12" t="s">
        <v>1801</v>
      </c>
      <c r="E14" s="12" t="s">
        <v>1815</v>
      </c>
      <c r="F14" s="12" t="s">
        <v>1824</v>
      </c>
      <c r="G14" s="12" t="s">
        <v>957</v>
      </c>
      <c r="H14" s="12" t="s">
        <v>2436</v>
      </c>
      <c r="I14" s="12" t="s">
        <v>13</v>
      </c>
      <c r="J14" s="12" t="s">
        <v>926</v>
      </c>
      <c r="K14" s="12" t="s">
        <v>224</v>
      </c>
    </row>
    <row r="15" spans="1:11" ht="15" x14ac:dyDescent="0.25">
      <c r="A15" s="11">
        <v>11</v>
      </c>
      <c r="B15" s="11" t="s">
        <v>1827</v>
      </c>
      <c r="C15" s="11" t="s">
        <v>1828</v>
      </c>
      <c r="D15" s="11" t="s">
        <v>1801</v>
      </c>
      <c r="E15" s="11" t="s">
        <v>1815</v>
      </c>
      <c r="F15" s="11" t="s">
        <v>1829</v>
      </c>
      <c r="G15" s="11" t="s">
        <v>938</v>
      </c>
      <c r="H15" s="11" t="s">
        <v>2436</v>
      </c>
      <c r="I15" s="11" t="s">
        <v>13</v>
      </c>
      <c r="J15" s="11" t="s">
        <v>2431</v>
      </c>
      <c r="K15" s="11" t="s">
        <v>14</v>
      </c>
    </row>
    <row r="16" spans="1:11" ht="15" x14ac:dyDescent="0.25">
      <c r="A16" s="3">
        <v>12</v>
      </c>
      <c r="B16" s="3" t="s">
        <v>1359</v>
      </c>
      <c r="C16" s="3" t="s">
        <v>1830</v>
      </c>
      <c r="D16" s="3" t="s">
        <v>1801</v>
      </c>
      <c r="E16" s="3" t="s">
        <v>1815</v>
      </c>
      <c r="F16" s="3" t="s">
        <v>749</v>
      </c>
      <c r="G16" s="3" t="s">
        <v>1130</v>
      </c>
      <c r="H16" s="3" t="s">
        <v>2436</v>
      </c>
      <c r="I16" s="3" t="s">
        <v>13</v>
      </c>
      <c r="J16" s="3" t="s">
        <v>2430</v>
      </c>
      <c r="K16" s="3" t="s">
        <v>43</v>
      </c>
    </row>
    <row r="17" spans="1:11" ht="15" x14ac:dyDescent="0.25">
      <c r="A17" s="3">
        <v>13</v>
      </c>
      <c r="B17" s="3" t="s">
        <v>1831</v>
      </c>
      <c r="C17" s="3" t="s">
        <v>1832</v>
      </c>
      <c r="D17" s="3" t="s">
        <v>1801</v>
      </c>
      <c r="E17" s="3" t="s">
        <v>1815</v>
      </c>
      <c r="F17" s="3" t="s">
        <v>1833</v>
      </c>
      <c r="G17" s="3" t="s">
        <v>2437</v>
      </c>
      <c r="H17" s="3" t="s">
        <v>2436</v>
      </c>
      <c r="I17" s="3" t="s">
        <v>13</v>
      </c>
      <c r="J17" s="3" t="s">
        <v>2430</v>
      </c>
      <c r="K17" s="3" t="s">
        <v>125</v>
      </c>
    </row>
    <row r="18" spans="1:11" ht="15" x14ac:dyDescent="0.25">
      <c r="A18" s="3">
        <v>14</v>
      </c>
      <c r="B18" s="3" t="s">
        <v>1834</v>
      </c>
      <c r="C18" s="3" t="s">
        <v>1835</v>
      </c>
      <c r="D18" s="3" t="s">
        <v>1801</v>
      </c>
      <c r="E18" s="3" t="s">
        <v>1815</v>
      </c>
      <c r="F18" s="3" t="s">
        <v>1833</v>
      </c>
      <c r="G18" s="3" t="s">
        <v>1040</v>
      </c>
      <c r="H18" s="3" t="s">
        <v>2436</v>
      </c>
      <c r="I18" s="3" t="s">
        <v>13</v>
      </c>
      <c r="J18" s="3" t="s">
        <v>2430</v>
      </c>
      <c r="K18" s="3" t="s">
        <v>398</v>
      </c>
    </row>
    <row r="19" spans="1:11" ht="15" x14ac:dyDescent="0.25">
      <c r="A19" s="11">
        <v>15</v>
      </c>
      <c r="B19" s="11" t="s">
        <v>1836</v>
      </c>
      <c r="C19" s="11" t="s">
        <v>119</v>
      </c>
      <c r="D19" s="11" t="s">
        <v>1801</v>
      </c>
      <c r="E19" s="11" t="s">
        <v>1815</v>
      </c>
      <c r="F19" s="11" t="s">
        <v>1837</v>
      </c>
      <c r="G19" s="11" t="s">
        <v>1007</v>
      </c>
      <c r="H19" s="11" t="s">
        <v>2436</v>
      </c>
      <c r="I19" s="11" t="s">
        <v>13</v>
      </c>
      <c r="J19" s="11" t="s">
        <v>2431</v>
      </c>
      <c r="K19" s="11" t="s">
        <v>14</v>
      </c>
    </row>
    <row r="20" spans="1:11" ht="15" x14ac:dyDescent="0.25">
      <c r="A20" s="12">
        <v>16</v>
      </c>
      <c r="B20" s="12" t="s">
        <v>1838</v>
      </c>
      <c r="C20" s="12" t="s">
        <v>1839</v>
      </c>
      <c r="D20" s="12" t="s">
        <v>1801</v>
      </c>
      <c r="E20" s="12" t="s">
        <v>1815</v>
      </c>
      <c r="F20" s="12" t="s">
        <v>1840</v>
      </c>
      <c r="G20" s="12" t="s">
        <v>955</v>
      </c>
      <c r="H20" s="12" t="s">
        <v>2436</v>
      </c>
      <c r="I20" s="12" t="s">
        <v>13</v>
      </c>
      <c r="J20" s="12" t="s">
        <v>926</v>
      </c>
      <c r="K20" s="12" t="s">
        <v>20</v>
      </c>
    </row>
    <row r="21" spans="1:11" ht="15" x14ac:dyDescent="0.25">
      <c r="A21" s="3">
        <v>17</v>
      </c>
      <c r="B21" s="3" t="s">
        <v>1841</v>
      </c>
      <c r="C21" s="3" t="s">
        <v>1842</v>
      </c>
      <c r="D21" s="3" t="s">
        <v>1801</v>
      </c>
      <c r="E21" s="3" t="s">
        <v>1815</v>
      </c>
      <c r="F21" s="3" t="s">
        <v>1843</v>
      </c>
      <c r="G21" s="3" t="s">
        <v>955</v>
      </c>
      <c r="H21" s="3" t="s">
        <v>2436</v>
      </c>
      <c r="I21" s="3" t="s">
        <v>13</v>
      </c>
      <c r="J21" s="3" t="s">
        <v>2430</v>
      </c>
      <c r="K21" s="3" t="s">
        <v>165</v>
      </c>
    </row>
    <row r="22" spans="1:11" ht="15" x14ac:dyDescent="0.25">
      <c r="A22" s="3">
        <v>18</v>
      </c>
      <c r="B22" s="3" t="s">
        <v>1844</v>
      </c>
      <c r="C22" s="3" t="s">
        <v>1845</v>
      </c>
      <c r="D22" s="3" t="s">
        <v>1801</v>
      </c>
      <c r="E22" s="3" t="s">
        <v>1815</v>
      </c>
      <c r="F22" s="3" t="s">
        <v>1846</v>
      </c>
      <c r="G22" s="3" t="s">
        <v>1065</v>
      </c>
      <c r="H22" s="3" t="s">
        <v>2436</v>
      </c>
      <c r="I22" s="3" t="s">
        <v>13</v>
      </c>
      <c r="J22" s="3" t="s">
        <v>2430</v>
      </c>
      <c r="K22" s="3" t="s">
        <v>20</v>
      </c>
    </row>
    <row r="23" spans="1:11" ht="15" x14ac:dyDescent="0.25">
      <c r="A23" s="13">
        <v>19</v>
      </c>
      <c r="B23" s="13" t="s">
        <v>1847</v>
      </c>
      <c r="C23" s="13" t="s">
        <v>1848</v>
      </c>
      <c r="D23" s="13" t="s">
        <v>1801</v>
      </c>
      <c r="E23" s="13" t="s">
        <v>1815</v>
      </c>
      <c r="F23" s="13" t="s">
        <v>1849</v>
      </c>
      <c r="G23" s="13" t="s">
        <v>1572</v>
      </c>
      <c r="H23" s="13" t="s">
        <v>2436</v>
      </c>
      <c r="I23" s="13" t="s">
        <v>13</v>
      </c>
      <c r="J23" s="13" t="s">
        <v>928</v>
      </c>
      <c r="K23" s="13" t="s">
        <v>241</v>
      </c>
    </row>
    <row r="24" spans="1:11" ht="15" x14ac:dyDescent="0.25">
      <c r="A24" s="11">
        <v>20</v>
      </c>
      <c r="B24" s="11" t="s">
        <v>1000</v>
      </c>
      <c r="C24" s="11" t="s">
        <v>1850</v>
      </c>
      <c r="D24" s="11" t="s">
        <v>1801</v>
      </c>
      <c r="E24" s="11" t="s">
        <v>1815</v>
      </c>
      <c r="F24" s="11" t="s">
        <v>1851</v>
      </c>
      <c r="G24" s="11" t="s">
        <v>1136</v>
      </c>
      <c r="H24" s="11" t="s">
        <v>2436</v>
      </c>
      <c r="I24" s="11" t="s">
        <v>13</v>
      </c>
      <c r="J24" s="11" t="s">
        <v>2431</v>
      </c>
      <c r="K24" s="11" t="s">
        <v>1701</v>
      </c>
    </row>
    <row r="25" spans="1:11" ht="15" x14ac:dyDescent="0.25">
      <c r="A25" s="11">
        <v>21</v>
      </c>
      <c r="B25" s="11" t="s">
        <v>1000</v>
      </c>
      <c r="C25" s="11" t="s">
        <v>1852</v>
      </c>
      <c r="D25" s="11" t="s">
        <v>1801</v>
      </c>
      <c r="E25" s="11" t="s">
        <v>1815</v>
      </c>
      <c r="F25" s="11" t="s">
        <v>1853</v>
      </c>
      <c r="G25" s="11" t="s">
        <v>955</v>
      </c>
      <c r="H25" s="11" t="s">
        <v>2436</v>
      </c>
      <c r="I25" s="11" t="s">
        <v>13</v>
      </c>
      <c r="J25" s="11" t="s">
        <v>2431</v>
      </c>
      <c r="K25" s="11" t="s">
        <v>1701</v>
      </c>
    </row>
    <row r="26" spans="1:11" ht="15" x14ac:dyDescent="0.25">
      <c r="A26" s="12">
        <v>22</v>
      </c>
      <c r="B26" s="12" t="s">
        <v>1854</v>
      </c>
      <c r="C26" s="12" t="s">
        <v>412</v>
      </c>
      <c r="D26" s="12" t="s">
        <v>1801</v>
      </c>
      <c r="E26" s="12" t="s">
        <v>1815</v>
      </c>
      <c r="F26" s="12" t="s">
        <v>1855</v>
      </c>
      <c r="G26" s="12" t="s">
        <v>1090</v>
      </c>
      <c r="H26" s="12" t="s">
        <v>2436</v>
      </c>
      <c r="I26" s="12" t="s">
        <v>13</v>
      </c>
      <c r="J26" s="12" t="s">
        <v>926</v>
      </c>
      <c r="K26" s="12" t="s">
        <v>224</v>
      </c>
    </row>
    <row r="27" spans="1:11" ht="15" x14ac:dyDescent="0.25">
      <c r="A27" s="12">
        <v>23</v>
      </c>
      <c r="B27" s="12" t="s">
        <v>1856</v>
      </c>
      <c r="C27" s="12" t="s">
        <v>1857</v>
      </c>
      <c r="D27" s="12" t="s">
        <v>1801</v>
      </c>
      <c r="E27" s="12" t="s">
        <v>1815</v>
      </c>
      <c r="F27" s="12" t="s">
        <v>1833</v>
      </c>
      <c r="G27" s="12" t="s">
        <v>1085</v>
      </c>
      <c r="H27" s="12" t="s">
        <v>2436</v>
      </c>
      <c r="I27" s="12" t="s">
        <v>13</v>
      </c>
      <c r="J27" s="12" t="s">
        <v>926</v>
      </c>
      <c r="K27" s="12" t="s">
        <v>20</v>
      </c>
    </row>
    <row r="28" spans="1:11" ht="15" x14ac:dyDescent="0.25">
      <c r="A28" s="11">
        <v>24</v>
      </c>
      <c r="B28" s="11" t="s">
        <v>1858</v>
      </c>
      <c r="C28" s="11" t="s">
        <v>1859</v>
      </c>
      <c r="D28" s="11" t="s">
        <v>1801</v>
      </c>
      <c r="E28" s="11" t="s">
        <v>1815</v>
      </c>
      <c r="F28" s="11" t="s">
        <v>461</v>
      </c>
      <c r="G28" s="11" t="s">
        <v>955</v>
      </c>
      <c r="H28" s="11" t="s">
        <v>2436</v>
      </c>
      <c r="I28" s="11" t="s">
        <v>13</v>
      </c>
      <c r="J28" s="11" t="s">
        <v>2431</v>
      </c>
      <c r="K28" s="11" t="s">
        <v>30</v>
      </c>
    </row>
    <row r="29" spans="1:11" ht="15" x14ac:dyDescent="0.25">
      <c r="A29" s="11">
        <v>25</v>
      </c>
      <c r="B29" s="11" t="s">
        <v>931</v>
      </c>
      <c r="C29" s="11" t="s">
        <v>54</v>
      </c>
      <c r="D29" s="11" t="s">
        <v>1801</v>
      </c>
      <c r="E29" s="11" t="s">
        <v>1860</v>
      </c>
      <c r="F29" s="11" t="s">
        <v>1861</v>
      </c>
      <c r="G29" s="11" t="s">
        <v>1084</v>
      </c>
      <c r="H29" s="11" t="s">
        <v>2438</v>
      </c>
      <c r="I29" s="11" t="s">
        <v>13</v>
      </c>
      <c r="J29" s="11" t="s">
        <v>2431</v>
      </c>
      <c r="K29" s="11" t="s">
        <v>14</v>
      </c>
    </row>
    <row r="30" spans="1:11" ht="15" x14ac:dyDescent="0.25">
      <c r="A30" s="12">
        <v>26</v>
      </c>
      <c r="B30" s="12" t="s">
        <v>1134</v>
      </c>
      <c r="C30" s="12" t="s">
        <v>1862</v>
      </c>
      <c r="D30" s="12" t="s">
        <v>1801</v>
      </c>
      <c r="E30" s="12" t="s">
        <v>1860</v>
      </c>
      <c r="F30" s="12" t="s">
        <v>1863</v>
      </c>
      <c r="G30" s="12" t="s">
        <v>955</v>
      </c>
      <c r="H30" s="12" t="s">
        <v>2438</v>
      </c>
      <c r="I30" s="12" t="s">
        <v>13</v>
      </c>
      <c r="J30" s="12" t="s">
        <v>926</v>
      </c>
      <c r="K30" s="12" t="s">
        <v>58</v>
      </c>
    </row>
    <row r="31" spans="1:11" ht="15" x14ac:dyDescent="0.25">
      <c r="A31" s="3">
        <v>27</v>
      </c>
      <c r="B31" s="3" t="s">
        <v>1864</v>
      </c>
      <c r="C31" s="3" t="s">
        <v>1865</v>
      </c>
      <c r="D31" s="3" t="s">
        <v>1801</v>
      </c>
      <c r="E31" s="3" t="s">
        <v>1860</v>
      </c>
      <c r="F31" s="3" t="s">
        <v>1866</v>
      </c>
      <c r="G31" s="3" t="s">
        <v>2439</v>
      </c>
      <c r="H31" s="3" t="s">
        <v>2438</v>
      </c>
      <c r="I31" s="3" t="s">
        <v>13</v>
      </c>
      <c r="J31" s="3" t="s">
        <v>2430</v>
      </c>
      <c r="K31" s="3" t="s">
        <v>14</v>
      </c>
    </row>
    <row r="32" spans="1:11" ht="15" x14ac:dyDescent="0.25">
      <c r="A32" s="3">
        <v>28</v>
      </c>
      <c r="B32" s="3" t="s">
        <v>1867</v>
      </c>
      <c r="C32" s="3" t="s">
        <v>1868</v>
      </c>
      <c r="D32" s="3" t="s">
        <v>1801</v>
      </c>
      <c r="E32" s="3" t="s">
        <v>1860</v>
      </c>
      <c r="F32" s="3" t="s">
        <v>1869</v>
      </c>
      <c r="G32" s="3" t="s">
        <v>1095</v>
      </c>
      <c r="H32" s="3" t="s">
        <v>2438</v>
      </c>
      <c r="I32" s="3" t="s">
        <v>13</v>
      </c>
      <c r="J32" s="3" t="s">
        <v>2430</v>
      </c>
      <c r="K32" s="3" t="s">
        <v>36</v>
      </c>
    </row>
    <row r="33" spans="1:11" ht="15" x14ac:dyDescent="0.25">
      <c r="A33" s="8">
        <v>29</v>
      </c>
      <c r="B33" s="8" t="s">
        <v>1494</v>
      </c>
      <c r="C33" s="8" t="s">
        <v>1870</v>
      </c>
      <c r="D33" s="8" t="s">
        <v>1801</v>
      </c>
      <c r="E33" s="8" t="s">
        <v>1860</v>
      </c>
      <c r="F33" s="8" t="s">
        <v>1871</v>
      </c>
      <c r="G33" s="8" t="s">
        <v>1354</v>
      </c>
      <c r="H33" s="8" t="s">
        <v>2438</v>
      </c>
      <c r="I33" s="8" t="s">
        <v>13</v>
      </c>
      <c r="J33" s="8" t="s">
        <v>924</v>
      </c>
      <c r="K33" s="8" t="s">
        <v>14</v>
      </c>
    </row>
    <row r="34" spans="1:11" ht="15" x14ac:dyDescent="0.25">
      <c r="A34" s="3">
        <v>30</v>
      </c>
      <c r="B34" s="3" t="s">
        <v>1872</v>
      </c>
      <c r="C34" s="3" t="s">
        <v>1873</v>
      </c>
      <c r="D34" s="3" t="s">
        <v>1801</v>
      </c>
      <c r="E34" s="3" t="s">
        <v>1860</v>
      </c>
      <c r="F34" s="3" t="s">
        <v>1874</v>
      </c>
      <c r="G34" s="3" t="s">
        <v>980</v>
      </c>
      <c r="H34" s="3" t="s">
        <v>2438</v>
      </c>
      <c r="I34" s="3" t="s">
        <v>13</v>
      </c>
      <c r="J34" s="3" t="s">
        <v>2430</v>
      </c>
      <c r="K34" s="3" t="s">
        <v>1875</v>
      </c>
    </row>
    <row r="35" spans="1:11" ht="15" x14ac:dyDescent="0.25">
      <c r="A35" s="3">
        <v>31</v>
      </c>
      <c r="B35" s="3" t="s">
        <v>1876</v>
      </c>
      <c r="C35" s="3" t="s">
        <v>1877</v>
      </c>
      <c r="D35" s="3" t="s">
        <v>1801</v>
      </c>
      <c r="E35" s="3" t="s">
        <v>1878</v>
      </c>
      <c r="F35" s="3" t="s">
        <v>1879</v>
      </c>
      <c r="G35" s="3" t="s">
        <v>1095</v>
      </c>
      <c r="H35" s="3" t="s">
        <v>2440</v>
      </c>
      <c r="I35" s="3" t="s">
        <v>13</v>
      </c>
      <c r="J35" s="3" t="s">
        <v>2430</v>
      </c>
      <c r="K35" s="3" t="s">
        <v>14</v>
      </c>
    </row>
    <row r="36" spans="1:11" ht="15" x14ac:dyDescent="0.25">
      <c r="A36" s="3">
        <v>32</v>
      </c>
      <c r="B36" s="3" t="s">
        <v>1880</v>
      </c>
      <c r="C36" s="3" t="s">
        <v>1881</v>
      </c>
      <c r="D36" s="3" t="s">
        <v>1801</v>
      </c>
      <c r="E36" s="3" t="s">
        <v>1878</v>
      </c>
      <c r="F36" s="3" t="s">
        <v>1882</v>
      </c>
      <c r="G36" s="3" t="s">
        <v>2441</v>
      </c>
      <c r="H36" s="3" t="s">
        <v>2440</v>
      </c>
      <c r="I36" s="3" t="s">
        <v>13</v>
      </c>
      <c r="J36" s="3" t="s">
        <v>2430</v>
      </c>
      <c r="K36" s="3" t="s">
        <v>1883</v>
      </c>
    </row>
    <row r="37" spans="1:11" ht="15" x14ac:dyDescent="0.25">
      <c r="A37" s="12">
        <v>33</v>
      </c>
      <c r="B37" s="12" t="s">
        <v>1884</v>
      </c>
      <c r="C37" s="12" t="s">
        <v>1885</v>
      </c>
      <c r="D37" s="12" t="s">
        <v>1801</v>
      </c>
      <c r="E37" s="12" t="s">
        <v>1878</v>
      </c>
      <c r="F37" s="12" t="s">
        <v>1886</v>
      </c>
      <c r="G37" s="12" t="s">
        <v>957</v>
      </c>
      <c r="H37" s="12" t="s">
        <v>2440</v>
      </c>
      <c r="I37" s="12" t="s">
        <v>13</v>
      </c>
      <c r="J37" s="12" t="s">
        <v>926</v>
      </c>
      <c r="K37" s="12" t="s">
        <v>98</v>
      </c>
    </row>
    <row r="38" spans="1:11" ht="15" x14ac:dyDescent="0.25">
      <c r="A38" s="11">
        <v>34</v>
      </c>
      <c r="B38" s="11" t="s">
        <v>931</v>
      </c>
      <c r="C38" s="11" t="s">
        <v>9</v>
      </c>
      <c r="D38" s="11" t="s">
        <v>1801</v>
      </c>
      <c r="E38" s="11" t="s">
        <v>1878</v>
      </c>
      <c r="F38" s="11" t="s">
        <v>1887</v>
      </c>
      <c r="G38" s="11" t="s">
        <v>2442</v>
      </c>
      <c r="H38" s="11" t="s">
        <v>2440</v>
      </c>
      <c r="I38" s="11" t="s">
        <v>13</v>
      </c>
      <c r="J38" s="11" t="s">
        <v>2431</v>
      </c>
      <c r="K38" s="11" t="s">
        <v>14</v>
      </c>
    </row>
    <row r="39" spans="1:11" x14ac:dyDescent="0.3">
      <c r="A39" s="3">
        <v>35</v>
      </c>
      <c r="B39" s="3" t="s">
        <v>1888</v>
      </c>
      <c r="C39" s="3" t="s">
        <v>1889</v>
      </c>
      <c r="D39" s="3" t="s">
        <v>1801</v>
      </c>
      <c r="E39" s="3" t="s">
        <v>1878</v>
      </c>
      <c r="F39" s="3" t="s">
        <v>1890</v>
      </c>
      <c r="G39" s="3" t="s">
        <v>957</v>
      </c>
      <c r="H39" s="3" t="s">
        <v>2440</v>
      </c>
      <c r="I39" s="3" t="s">
        <v>13</v>
      </c>
      <c r="J39" s="3" t="s">
        <v>2430</v>
      </c>
      <c r="K39" s="3" t="s">
        <v>1891</v>
      </c>
    </row>
    <row r="40" spans="1:11" x14ac:dyDescent="0.3">
      <c r="A40" s="11">
        <v>36</v>
      </c>
      <c r="B40" s="11" t="s">
        <v>1892</v>
      </c>
      <c r="C40" s="11" t="s">
        <v>1893</v>
      </c>
      <c r="D40" s="11" t="s">
        <v>1801</v>
      </c>
      <c r="E40" s="11" t="s">
        <v>1878</v>
      </c>
      <c r="F40" s="11" t="s">
        <v>1894</v>
      </c>
      <c r="G40" s="11" t="s">
        <v>1029</v>
      </c>
      <c r="H40" s="11" t="s">
        <v>2440</v>
      </c>
      <c r="I40" s="11" t="s">
        <v>13</v>
      </c>
      <c r="J40" s="11" t="s">
        <v>2431</v>
      </c>
      <c r="K40" s="11" t="s">
        <v>58</v>
      </c>
    </row>
    <row r="41" spans="1:11" x14ac:dyDescent="0.3">
      <c r="A41" s="3">
        <v>37</v>
      </c>
      <c r="B41" s="3" t="s">
        <v>1149</v>
      </c>
      <c r="C41" s="3" t="s">
        <v>315</v>
      </c>
      <c r="D41" s="3" t="s">
        <v>1801</v>
      </c>
      <c r="E41" s="3" t="s">
        <v>1878</v>
      </c>
      <c r="F41" s="3" t="s">
        <v>1895</v>
      </c>
      <c r="G41" s="3" t="s">
        <v>1348</v>
      </c>
      <c r="H41" s="3" t="s">
        <v>2440</v>
      </c>
      <c r="I41" s="3" t="s">
        <v>13</v>
      </c>
      <c r="J41" s="3" t="s">
        <v>2430</v>
      </c>
      <c r="K41" s="3" t="s">
        <v>20</v>
      </c>
    </row>
    <row r="42" spans="1:11" x14ac:dyDescent="0.3">
      <c r="A42" s="3">
        <v>38</v>
      </c>
      <c r="B42" s="3" t="s">
        <v>1896</v>
      </c>
      <c r="C42" s="3" t="s">
        <v>1897</v>
      </c>
      <c r="D42" s="3" t="s">
        <v>1801</v>
      </c>
      <c r="E42" s="3" t="s">
        <v>1878</v>
      </c>
      <c r="F42" s="3" t="s">
        <v>1898</v>
      </c>
      <c r="G42" s="3" t="s">
        <v>2443</v>
      </c>
      <c r="H42" s="3" t="s">
        <v>2440</v>
      </c>
      <c r="I42" s="3" t="s">
        <v>13</v>
      </c>
      <c r="J42" s="3" t="s">
        <v>2430</v>
      </c>
      <c r="K42" s="3" t="s">
        <v>14</v>
      </c>
    </row>
    <row r="43" spans="1:11" x14ac:dyDescent="0.3">
      <c r="A43" s="12">
        <v>39</v>
      </c>
      <c r="B43" s="12" t="s">
        <v>1899</v>
      </c>
      <c r="C43" s="12" t="s">
        <v>1900</v>
      </c>
      <c r="D43" s="12" t="s">
        <v>1801</v>
      </c>
      <c r="E43" s="12" t="s">
        <v>1878</v>
      </c>
      <c r="F43" s="12" t="s">
        <v>48</v>
      </c>
      <c r="G43" s="12" t="s">
        <v>2444</v>
      </c>
      <c r="H43" s="12" t="s">
        <v>2440</v>
      </c>
      <c r="I43" s="12" t="s">
        <v>13</v>
      </c>
      <c r="J43" s="12" t="s">
        <v>926</v>
      </c>
      <c r="K43" s="12" t="s">
        <v>43</v>
      </c>
    </row>
    <row r="44" spans="1:11" x14ac:dyDescent="0.3">
      <c r="A44" s="12">
        <v>40</v>
      </c>
      <c r="B44" s="12" t="s">
        <v>1901</v>
      </c>
      <c r="C44" s="12" t="s">
        <v>320</v>
      </c>
      <c r="D44" s="12" t="s">
        <v>1801</v>
      </c>
      <c r="E44" s="12" t="s">
        <v>1878</v>
      </c>
      <c r="F44" s="12" t="s">
        <v>1902</v>
      </c>
      <c r="G44" s="12" t="s">
        <v>2445</v>
      </c>
      <c r="H44" s="12" t="s">
        <v>2440</v>
      </c>
      <c r="I44" s="12" t="s">
        <v>13</v>
      </c>
      <c r="J44" s="12" t="s">
        <v>926</v>
      </c>
      <c r="K44" s="12" t="s">
        <v>66</v>
      </c>
    </row>
    <row r="45" spans="1:11" x14ac:dyDescent="0.3">
      <c r="A45" s="3">
        <v>41</v>
      </c>
      <c r="B45" s="3" t="s">
        <v>1903</v>
      </c>
      <c r="C45" s="3" t="s">
        <v>1904</v>
      </c>
      <c r="D45" s="3" t="s">
        <v>1801</v>
      </c>
      <c r="E45" s="3" t="s">
        <v>1878</v>
      </c>
      <c r="F45" s="3" t="s">
        <v>1905</v>
      </c>
      <c r="G45" s="3" t="s">
        <v>1232</v>
      </c>
      <c r="H45" s="3" t="s">
        <v>2440</v>
      </c>
      <c r="I45" s="3" t="s">
        <v>13</v>
      </c>
      <c r="J45" s="3" t="s">
        <v>2430</v>
      </c>
      <c r="K45" s="3" t="s">
        <v>27</v>
      </c>
    </row>
    <row r="46" spans="1:11" x14ac:dyDescent="0.3">
      <c r="A46" s="12">
        <v>42</v>
      </c>
      <c r="B46" s="12" t="s">
        <v>1906</v>
      </c>
      <c r="C46" s="12" t="s">
        <v>1907</v>
      </c>
      <c r="D46" s="12" t="s">
        <v>1801</v>
      </c>
      <c r="E46" s="12" t="s">
        <v>1878</v>
      </c>
      <c r="F46" s="12" t="s">
        <v>1908</v>
      </c>
      <c r="G46" s="12" t="s">
        <v>2446</v>
      </c>
      <c r="H46" s="12" t="s">
        <v>2440</v>
      </c>
      <c r="I46" s="12" t="s">
        <v>13</v>
      </c>
      <c r="J46" s="12" t="s">
        <v>926</v>
      </c>
      <c r="K46" s="12" t="s">
        <v>20</v>
      </c>
    </row>
    <row r="47" spans="1:11" x14ac:dyDescent="0.3">
      <c r="A47" s="3">
        <v>43</v>
      </c>
      <c r="B47" s="3" t="s">
        <v>1909</v>
      </c>
      <c r="C47" s="3" t="s">
        <v>570</v>
      </c>
      <c r="D47" s="3" t="s">
        <v>1801</v>
      </c>
      <c r="E47" s="3" t="s">
        <v>1878</v>
      </c>
      <c r="F47" s="3" t="s">
        <v>292</v>
      </c>
      <c r="G47" s="3" t="s">
        <v>1018</v>
      </c>
      <c r="H47" s="3" t="s">
        <v>2440</v>
      </c>
      <c r="I47" s="3" t="s">
        <v>13</v>
      </c>
      <c r="J47" s="3" t="s">
        <v>2430</v>
      </c>
      <c r="K47" s="3" t="s">
        <v>20</v>
      </c>
    </row>
    <row r="48" spans="1:11" x14ac:dyDescent="0.3">
      <c r="A48" s="12">
        <v>44</v>
      </c>
      <c r="B48" s="12" t="s">
        <v>1910</v>
      </c>
      <c r="C48" s="12" t="s">
        <v>1911</v>
      </c>
      <c r="D48" s="12" t="s">
        <v>1801</v>
      </c>
      <c r="E48" s="12" t="s">
        <v>1878</v>
      </c>
      <c r="F48" s="12" t="s">
        <v>1902</v>
      </c>
      <c r="G48" s="12" t="s">
        <v>2447</v>
      </c>
      <c r="H48" s="12" t="s">
        <v>2440</v>
      </c>
      <c r="I48" s="12" t="s">
        <v>13</v>
      </c>
      <c r="J48" s="12" t="s">
        <v>926</v>
      </c>
      <c r="K48" s="12" t="s">
        <v>62</v>
      </c>
    </row>
    <row r="49" spans="1:11" x14ac:dyDescent="0.3">
      <c r="A49" s="12">
        <v>45</v>
      </c>
      <c r="B49" s="12" t="s">
        <v>1912</v>
      </c>
      <c r="C49" s="12" t="s">
        <v>1913</v>
      </c>
      <c r="D49" s="12" t="s">
        <v>1801</v>
      </c>
      <c r="E49" s="12" t="s">
        <v>1878</v>
      </c>
      <c r="F49" s="12" t="s">
        <v>1914</v>
      </c>
      <c r="G49" s="12" t="s">
        <v>2448</v>
      </c>
      <c r="H49" s="12" t="s">
        <v>2440</v>
      </c>
      <c r="I49" s="12" t="s">
        <v>13</v>
      </c>
      <c r="J49" s="12" t="s">
        <v>926</v>
      </c>
      <c r="K49" s="12" t="s">
        <v>20</v>
      </c>
    </row>
    <row r="50" spans="1:11" x14ac:dyDescent="0.3">
      <c r="A50" s="12">
        <v>46</v>
      </c>
      <c r="B50" s="12" t="s">
        <v>959</v>
      </c>
      <c r="C50" s="12" t="s">
        <v>1915</v>
      </c>
      <c r="D50" s="12" t="s">
        <v>1801</v>
      </c>
      <c r="E50" s="12" t="s">
        <v>1878</v>
      </c>
      <c r="F50" s="12" t="s">
        <v>1887</v>
      </c>
      <c r="G50" s="12" t="s">
        <v>2442</v>
      </c>
      <c r="H50" s="12" t="s">
        <v>2440</v>
      </c>
      <c r="I50" s="12" t="s">
        <v>13</v>
      </c>
      <c r="J50" s="12" t="s">
        <v>926</v>
      </c>
      <c r="K50" s="12" t="s">
        <v>14</v>
      </c>
    </row>
    <row r="51" spans="1:11" x14ac:dyDescent="0.3">
      <c r="A51" s="3">
        <v>47</v>
      </c>
      <c r="B51" s="3" t="s">
        <v>1916</v>
      </c>
      <c r="C51" s="3" t="s">
        <v>1917</v>
      </c>
      <c r="D51" s="3" t="s">
        <v>1801</v>
      </c>
      <c r="E51" s="3" t="s">
        <v>1878</v>
      </c>
      <c r="F51" s="3" t="s">
        <v>1918</v>
      </c>
      <c r="G51" s="3" t="s">
        <v>950</v>
      </c>
      <c r="H51" s="3" t="s">
        <v>2440</v>
      </c>
      <c r="I51" s="3" t="s">
        <v>13</v>
      </c>
      <c r="J51" s="3" t="s">
        <v>2430</v>
      </c>
      <c r="K51" s="3" t="s">
        <v>43</v>
      </c>
    </row>
    <row r="52" spans="1:11" x14ac:dyDescent="0.3">
      <c r="A52" s="3">
        <v>48</v>
      </c>
      <c r="B52" s="3" t="s">
        <v>1919</v>
      </c>
      <c r="C52" s="3" t="s">
        <v>1920</v>
      </c>
      <c r="D52" s="3" t="s">
        <v>1801</v>
      </c>
      <c r="E52" s="3" t="s">
        <v>1878</v>
      </c>
      <c r="F52" s="3" t="s">
        <v>1921</v>
      </c>
      <c r="G52" s="3" t="s">
        <v>1136</v>
      </c>
      <c r="H52" s="3" t="s">
        <v>2440</v>
      </c>
      <c r="I52" s="3" t="s">
        <v>13</v>
      </c>
      <c r="J52" s="3" t="s">
        <v>2430</v>
      </c>
      <c r="K52" s="3" t="s">
        <v>58</v>
      </c>
    </row>
    <row r="53" spans="1:11" x14ac:dyDescent="0.3">
      <c r="A53" s="12">
        <v>49</v>
      </c>
      <c r="B53" s="12" t="s">
        <v>1922</v>
      </c>
      <c r="C53" s="12" t="s">
        <v>1923</v>
      </c>
      <c r="D53" s="12" t="s">
        <v>1801</v>
      </c>
      <c r="E53" s="12" t="s">
        <v>1878</v>
      </c>
      <c r="F53" s="12" t="s">
        <v>1895</v>
      </c>
      <c r="G53" s="12" t="s">
        <v>1408</v>
      </c>
      <c r="H53" s="12" t="s">
        <v>2440</v>
      </c>
      <c r="I53" s="12" t="s">
        <v>13</v>
      </c>
      <c r="J53" s="12" t="s">
        <v>926</v>
      </c>
      <c r="K53" s="12" t="s">
        <v>14</v>
      </c>
    </row>
    <row r="54" spans="1:11" x14ac:dyDescent="0.3">
      <c r="A54" s="11">
        <v>50</v>
      </c>
      <c r="B54" s="11" t="s">
        <v>1836</v>
      </c>
      <c r="C54" s="11" t="s">
        <v>119</v>
      </c>
      <c r="D54" s="11" t="s">
        <v>1801</v>
      </c>
      <c r="E54" s="11" t="s">
        <v>1878</v>
      </c>
      <c r="F54" s="11" t="s">
        <v>1924</v>
      </c>
      <c r="G54" s="11" t="s">
        <v>1180</v>
      </c>
      <c r="H54" s="11" t="s">
        <v>2440</v>
      </c>
      <c r="I54" s="11" t="s">
        <v>13</v>
      </c>
      <c r="J54" s="11" t="s">
        <v>2431</v>
      </c>
      <c r="K54" s="11" t="s">
        <v>14</v>
      </c>
    </row>
    <row r="55" spans="1:11" x14ac:dyDescent="0.3">
      <c r="A55" s="3">
        <v>51</v>
      </c>
      <c r="B55" s="3" t="s">
        <v>1925</v>
      </c>
      <c r="C55" s="3" t="s">
        <v>1926</v>
      </c>
      <c r="D55" s="3" t="s">
        <v>1801</v>
      </c>
      <c r="E55" s="3" t="s">
        <v>1878</v>
      </c>
      <c r="F55" s="3" t="s">
        <v>1927</v>
      </c>
      <c r="G55" s="3" t="s">
        <v>1354</v>
      </c>
      <c r="H55" s="3" t="s">
        <v>2440</v>
      </c>
      <c r="I55" s="3" t="s">
        <v>13</v>
      </c>
      <c r="J55" s="3" t="s">
        <v>2430</v>
      </c>
      <c r="K55" s="3" t="s">
        <v>58</v>
      </c>
    </row>
    <row r="56" spans="1:11" x14ac:dyDescent="0.3">
      <c r="A56" s="11">
        <v>52</v>
      </c>
      <c r="B56" s="11" t="s">
        <v>1000</v>
      </c>
      <c r="C56" s="11" t="s">
        <v>1928</v>
      </c>
      <c r="D56" s="11" t="s">
        <v>1801</v>
      </c>
      <c r="E56" s="11" t="s">
        <v>1878</v>
      </c>
      <c r="F56" s="11" t="s">
        <v>1895</v>
      </c>
      <c r="G56" s="11" t="s">
        <v>1408</v>
      </c>
      <c r="H56" s="11" t="s">
        <v>2440</v>
      </c>
      <c r="I56" s="11" t="s">
        <v>13</v>
      </c>
      <c r="J56" s="11" t="s">
        <v>2431</v>
      </c>
      <c r="K56" s="11" t="s">
        <v>14</v>
      </c>
    </row>
    <row r="57" spans="1:11" x14ac:dyDescent="0.3">
      <c r="A57" s="11">
        <v>53</v>
      </c>
      <c r="B57" s="11" t="s">
        <v>1000</v>
      </c>
      <c r="C57" s="11" t="s">
        <v>1929</v>
      </c>
      <c r="D57" s="11" t="s">
        <v>1801</v>
      </c>
      <c r="E57" s="11" t="s">
        <v>1878</v>
      </c>
      <c r="F57" s="11" t="s">
        <v>1894</v>
      </c>
      <c r="G57" s="11" t="s">
        <v>1079</v>
      </c>
      <c r="H57" s="11" t="s">
        <v>2440</v>
      </c>
      <c r="I57" s="11" t="s">
        <v>13</v>
      </c>
      <c r="J57" s="11" t="s">
        <v>2431</v>
      </c>
      <c r="K57" s="11" t="s">
        <v>14</v>
      </c>
    </row>
    <row r="58" spans="1:11" x14ac:dyDescent="0.3">
      <c r="A58" s="3">
        <v>54</v>
      </c>
      <c r="B58" s="3" t="s">
        <v>1930</v>
      </c>
      <c r="C58" s="3" t="s">
        <v>1931</v>
      </c>
      <c r="D58" s="3" t="s">
        <v>1801</v>
      </c>
      <c r="E58" s="3" t="s">
        <v>1878</v>
      </c>
      <c r="F58" s="3" t="s">
        <v>1895</v>
      </c>
      <c r="G58" s="3" t="s">
        <v>1572</v>
      </c>
      <c r="H58" s="3" t="s">
        <v>2440</v>
      </c>
      <c r="I58" s="3" t="s">
        <v>13</v>
      </c>
      <c r="J58" s="3" t="s">
        <v>2430</v>
      </c>
      <c r="K58" s="3" t="s">
        <v>1932</v>
      </c>
    </row>
    <row r="59" spans="1:11" x14ac:dyDescent="0.3">
      <c r="A59" s="12">
        <v>55</v>
      </c>
      <c r="B59" s="12" t="s">
        <v>1933</v>
      </c>
      <c r="C59" s="12" t="s">
        <v>1934</v>
      </c>
      <c r="D59" s="12" t="s">
        <v>1801</v>
      </c>
      <c r="E59" s="12" t="s">
        <v>1878</v>
      </c>
      <c r="F59" s="12" t="s">
        <v>292</v>
      </c>
      <c r="G59" s="12" t="s">
        <v>1458</v>
      </c>
      <c r="H59" s="12" t="s">
        <v>2440</v>
      </c>
      <c r="I59" s="12" t="s">
        <v>13</v>
      </c>
      <c r="J59" s="12" t="s">
        <v>926</v>
      </c>
      <c r="K59" s="12" t="s">
        <v>14</v>
      </c>
    </row>
    <row r="60" spans="1:11" x14ac:dyDescent="0.3">
      <c r="A60" s="12">
        <v>56</v>
      </c>
      <c r="B60" s="12" t="s">
        <v>1935</v>
      </c>
      <c r="C60" s="12" t="s">
        <v>1936</v>
      </c>
      <c r="D60" s="12" t="s">
        <v>1801</v>
      </c>
      <c r="E60" s="12" t="s">
        <v>1937</v>
      </c>
      <c r="F60" s="12" t="s">
        <v>1938</v>
      </c>
      <c r="G60" s="12" t="s">
        <v>1045</v>
      </c>
      <c r="H60" s="12" t="s">
        <v>2449</v>
      </c>
      <c r="I60" s="12" t="s">
        <v>13</v>
      </c>
      <c r="J60" s="12" t="s">
        <v>926</v>
      </c>
      <c r="K60" s="12" t="s">
        <v>14</v>
      </c>
    </row>
    <row r="61" spans="1:11" x14ac:dyDescent="0.3">
      <c r="A61" s="3">
        <v>57</v>
      </c>
      <c r="B61" s="3" t="s">
        <v>1939</v>
      </c>
      <c r="C61" s="3" t="s">
        <v>1940</v>
      </c>
      <c r="D61" s="3" t="s">
        <v>1801</v>
      </c>
      <c r="E61" s="3" t="s">
        <v>1937</v>
      </c>
      <c r="F61" s="3" t="s">
        <v>1941</v>
      </c>
      <c r="G61" s="3" t="s">
        <v>984</v>
      </c>
      <c r="H61" s="3" t="s">
        <v>2449</v>
      </c>
      <c r="I61" s="3" t="s">
        <v>13</v>
      </c>
      <c r="J61" s="3" t="s">
        <v>2430</v>
      </c>
      <c r="K61" s="3" t="s">
        <v>14</v>
      </c>
    </row>
    <row r="62" spans="1:11" x14ac:dyDescent="0.3">
      <c r="A62" s="3">
        <v>58</v>
      </c>
      <c r="B62" s="3" t="s">
        <v>1942</v>
      </c>
      <c r="C62" s="3" t="s">
        <v>1943</v>
      </c>
      <c r="D62" s="3" t="s">
        <v>1801</v>
      </c>
      <c r="E62" s="3" t="s">
        <v>1944</v>
      </c>
      <c r="F62" s="3" t="s">
        <v>69</v>
      </c>
      <c r="G62" s="3" t="s">
        <v>1045</v>
      </c>
      <c r="H62" s="3" t="s">
        <v>2450</v>
      </c>
      <c r="I62" s="3" t="s">
        <v>13</v>
      </c>
      <c r="J62" s="3" t="s">
        <v>2430</v>
      </c>
      <c r="K62" s="3" t="s">
        <v>14</v>
      </c>
    </row>
    <row r="63" spans="1:11" x14ac:dyDescent="0.3">
      <c r="A63" s="3">
        <v>59</v>
      </c>
      <c r="B63" s="3" t="s">
        <v>1945</v>
      </c>
      <c r="C63" s="3" t="s">
        <v>1946</v>
      </c>
      <c r="D63" s="3" t="s">
        <v>1801</v>
      </c>
      <c r="E63" s="3" t="s">
        <v>1944</v>
      </c>
      <c r="F63" s="3" t="s">
        <v>1947</v>
      </c>
      <c r="G63" s="3" t="s">
        <v>2451</v>
      </c>
      <c r="H63" s="3" t="s">
        <v>2450</v>
      </c>
      <c r="I63" s="3" t="s">
        <v>13</v>
      </c>
      <c r="J63" s="3" t="s">
        <v>2430</v>
      </c>
      <c r="K63" s="3" t="s">
        <v>14</v>
      </c>
    </row>
    <row r="64" spans="1:11" x14ac:dyDescent="0.3">
      <c r="A64" s="3">
        <v>60</v>
      </c>
      <c r="B64" s="3" t="s">
        <v>1948</v>
      </c>
      <c r="C64" s="3" t="s">
        <v>1949</v>
      </c>
      <c r="D64" s="3" t="s">
        <v>1801</v>
      </c>
      <c r="E64" s="3" t="s">
        <v>1944</v>
      </c>
      <c r="F64" s="3" t="s">
        <v>48</v>
      </c>
      <c r="G64" s="3" t="s">
        <v>1345</v>
      </c>
      <c r="H64" s="3" t="s">
        <v>2450</v>
      </c>
      <c r="I64" s="3" t="s">
        <v>13</v>
      </c>
      <c r="J64" s="3" t="s">
        <v>2430</v>
      </c>
      <c r="K64" s="3" t="s">
        <v>20</v>
      </c>
    </row>
    <row r="65" spans="1:11" x14ac:dyDescent="0.3">
      <c r="A65" s="12">
        <v>61</v>
      </c>
      <c r="B65" s="12" t="s">
        <v>1950</v>
      </c>
      <c r="C65" s="12" t="s">
        <v>1951</v>
      </c>
      <c r="D65" s="12" t="s">
        <v>1801</v>
      </c>
      <c r="E65" s="12" t="s">
        <v>1944</v>
      </c>
      <c r="F65" s="12" t="s">
        <v>1952</v>
      </c>
      <c r="G65" s="12" t="s">
        <v>938</v>
      </c>
      <c r="H65" s="12" t="s">
        <v>2450</v>
      </c>
      <c r="I65" s="12" t="s">
        <v>13</v>
      </c>
      <c r="J65" s="12" t="s">
        <v>926</v>
      </c>
      <c r="K65" s="12" t="s">
        <v>14</v>
      </c>
    </row>
    <row r="66" spans="1:11" x14ac:dyDescent="0.3">
      <c r="A66" s="3">
        <v>62</v>
      </c>
      <c r="B66" s="3" t="s">
        <v>1953</v>
      </c>
      <c r="C66" s="3" t="s">
        <v>1954</v>
      </c>
      <c r="D66" s="3" t="s">
        <v>1801</v>
      </c>
      <c r="E66" s="3" t="s">
        <v>1955</v>
      </c>
      <c r="F66" s="3" t="s">
        <v>1956</v>
      </c>
      <c r="G66" s="3" t="s">
        <v>965</v>
      </c>
      <c r="H66" s="3" t="s">
        <v>2452</v>
      </c>
      <c r="I66" s="3" t="s">
        <v>13</v>
      </c>
      <c r="J66" s="3" t="s">
        <v>2430</v>
      </c>
      <c r="K66" s="3" t="s">
        <v>205</v>
      </c>
    </row>
    <row r="67" spans="1:11" x14ac:dyDescent="0.3">
      <c r="A67" s="12">
        <v>63</v>
      </c>
      <c r="B67" s="12" t="s">
        <v>1957</v>
      </c>
      <c r="C67" s="12" t="s">
        <v>1958</v>
      </c>
      <c r="D67" s="12" t="s">
        <v>1801</v>
      </c>
      <c r="E67" s="12" t="s">
        <v>1955</v>
      </c>
      <c r="F67" s="12" t="s">
        <v>1959</v>
      </c>
      <c r="G67" s="12" t="s">
        <v>1110</v>
      </c>
      <c r="H67" s="12" t="s">
        <v>2452</v>
      </c>
      <c r="I67" s="12" t="s">
        <v>13</v>
      </c>
      <c r="J67" s="12" t="s">
        <v>926</v>
      </c>
      <c r="K67" s="12" t="s">
        <v>14</v>
      </c>
    </row>
    <row r="68" spans="1:11" x14ac:dyDescent="0.3">
      <c r="A68" s="12">
        <v>64</v>
      </c>
      <c r="B68" s="12" t="s">
        <v>1960</v>
      </c>
      <c r="C68" s="12" t="s">
        <v>1961</v>
      </c>
      <c r="D68" s="12" t="s">
        <v>1801</v>
      </c>
      <c r="E68" s="12" t="s">
        <v>1955</v>
      </c>
      <c r="F68" s="12" t="s">
        <v>1962</v>
      </c>
      <c r="G68" s="12" t="s">
        <v>965</v>
      </c>
      <c r="H68" s="12" t="s">
        <v>2452</v>
      </c>
      <c r="I68" s="12" t="s">
        <v>13</v>
      </c>
      <c r="J68" s="12" t="s">
        <v>926</v>
      </c>
      <c r="K68" s="12" t="s">
        <v>14</v>
      </c>
    </row>
    <row r="69" spans="1:11" x14ac:dyDescent="0.3">
      <c r="A69" s="11">
        <v>65</v>
      </c>
      <c r="B69" s="11" t="s">
        <v>931</v>
      </c>
      <c r="C69" s="11" t="s">
        <v>54</v>
      </c>
      <c r="D69" s="11" t="s">
        <v>1801</v>
      </c>
      <c r="E69" s="11" t="s">
        <v>1963</v>
      </c>
      <c r="F69" s="11" t="s">
        <v>1964</v>
      </c>
      <c r="G69" s="11" t="s">
        <v>1005</v>
      </c>
      <c r="H69" s="11" t="s">
        <v>2453</v>
      </c>
      <c r="I69" s="11" t="s">
        <v>13</v>
      </c>
      <c r="J69" s="11" t="s">
        <v>2431</v>
      </c>
      <c r="K69" s="11" t="s">
        <v>14</v>
      </c>
    </row>
    <row r="70" spans="1:11" x14ac:dyDescent="0.3">
      <c r="A70" s="3">
        <v>66</v>
      </c>
      <c r="B70" s="3" t="s">
        <v>1965</v>
      </c>
      <c r="C70" s="3" t="s">
        <v>1966</v>
      </c>
      <c r="D70" s="3" t="s">
        <v>1801</v>
      </c>
      <c r="E70" s="3" t="s">
        <v>1963</v>
      </c>
      <c r="F70" s="3" t="s">
        <v>1967</v>
      </c>
      <c r="G70" s="3" t="s">
        <v>1136</v>
      </c>
      <c r="H70" s="3" t="s">
        <v>2453</v>
      </c>
      <c r="I70" s="3" t="s">
        <v>13</v>
      </c>
      <c r="J70" s="3" t="s">
        <v>2430</v>
      </c>
      <c r="K70" s="3" t="s">
        <v>14</v>
      </c>
    </row>
    <row r="71" spans="1:11" x14ac:dyDescent="0.3">
      <c r="A71" s="12">
        <v>67</v>
      </c>
      <c r="B71" s="12" t="s">
        <v>931</v>
      </c>
      <c r="C71" s="12" t="s">
        <v>54</v>
      </c>
      <c r="D71" s="12" t="s">
        <v>1801</v>
      </c>
      <c r="E71" s="12" t="s">
        <v>1968</v>
      </c>
      <c r="F71" s="12" t="s">
        <v>536</v>
      </c>
      <c r="G71" s="12" t="s">
        <v>1136</v>
      </c>
      <c r="H71" s="12" t="s">
        <v>2454</v>
      </c>
      <c r="I71" s="12" t="s">
        <v>13</v>
      </c>
      <c r="J71" s="12" t="s">
        <v>926</v>
      </c>
      <c r="K71" s="12" t="s">
        <v>14</v>
      </c>
    </row>
    <row r="72" spans="1:11" x14ac:dyDescent="0.3">
      <c r="A72" s="3">
        <v>68</v>
      </c>
      <c r="B72" s="3" t="s">
        <v>1969</v>
      </c>
      <c r="C72" s="3" t="s">
        <v>1970</v>
      </c>
      <c r="D72" s="3" t="s">
        <v>1801</v>
      </c>
      <c r="E72" s="3" t="s">
        <v>1968</v>
      </c>
      <c r="F72" s="3" t="s">
        <v>1971</v>
      </c>
      <c r="G72" s="3" t="s">
        <v>1056</v>
      </c>
      <c r="H72" s="3" t="s">
        <v>2454</v>
      </c>
      <c r="I72" s="3" t="s">
        <v>13</v>
      </c>
      <c r="J72" s="3" t="s">
        <v>2430</v>
      </c>
      <c r="K72" s="3" t="s">
        <v>36</v>
      </c>
    </row>
    <row r="73" spans="1:11" x14ac:dyDescent="0.3">
      <c r="A73" s="11">
        <v>69</v>
      </c>
      <c r="B73" s="11" t="s">
        <v>1972</v>
      </c>
      <c r="C73" s="11" t="s">
        <v>1973</v>
      </c>
      <c r="D73" s="11" t="s">
        <v>1801</v>
      </c>
      <c r="E73" s="11" t="s">
        <v>1968</v>
      </c>
      <c r="F73" s="11" t="s">
        <v>1974</v>
      </c>
      <c r="G73" s="11" t="s">
        <v>2455</v>
      </c>
      <c r="H73" s="11" t="s">
        <v>2454</v>
      </c>
      <c r="I73" s="11" t="s">
        <v>13</v>
      </c>
      <c r="J73" s="11" t="s">
        <v>2431</v>
      </c>
      <c r="K73" s="11" t="s">
        <v>1975</v>
      </c>
    </row>
    <row r="74" spans="1:11" x14ac:dyDescent="0.3">
      <c r="A74" s="12">
        <v>70</v>
      </c>
      <c r="B74" s="12" t="s">
        <v>1976</v>
      </c>
      <c r="C74" s="12" t="s">
        <v>1977</v>
      </c>
      <c r="D74" s="12" t="s">
        <v>1801</v>
      </c>
      <c r="E74" s="12" t="s">
        <v>1968</v>
      </c>
      <c r="F74" s="12" t="s">
        <v>536</v>
      </c>
      <c r="G74" s="12" t="s">
        <v>2456</v>
      </c>
      <c r="H74" s="12" t="s">
        <v>2454</v>
      </c>
      <c r="I74" s="12" t="s">
        <v>13</v>
      </c>
      <c r="J74" s="12" t="s">
        <v>926</v>
      </c>
      <c r="K74" s="12" t="s">
        <v>20</v>
      </c>
    </row>
    <row r="75" spans="1:11" x14ac:dyDescent="0.3">
      <c r="A75" s="3">
        <v>71</v>
      </c>
      <c r="B75" s="3" t="s">
        <v>1978</v>
      </c>
      <c r="C75" s="3" t="s">
        <v>1979</v>
      </c>
      <c r="D75" s="3" t="s">
        <v>1801</v>
      </c>
      <c r="E75" s="3" t="s">
        <v>1980</v>
      </c>
      <c r="F75" s="3" t="s">
        <v>1981</v>
      </c>
      <c r="G75" s="3" t="s">
        <v>2457</v>
      </c>
      <c r="H75" s="3" t="s">
        <v>2458</v>
      </c>
      <c r="I75" s="3" t="s">
        <v>13</v>
      </c>
      <c r="J75" s="3" t="s">
        <v>2430</v>
      </c>
      <c r="K75" s="3" t="s">
        <v>1982</v>
      </c>
    </row>
    <row r="76" spans="1:11" x14ac:dyDescent="0.3">
      <c r="A76" s="3">
        <v>72</v>
      </c>
      <c r="B76" s="3" t="s">
        <v>1983</v>
      </c>
      <c r="C76" s="3" t="s">
        <v>1984</v>
      </c>
      <c r="D76" s="3" t="s">
        <v>1801</v>
      </c>
      <c r="E76" s="3" t="s">
        <v>1985</v>
      </c>
      <c r="F76" s="3" t="s">
        <v>1986</v>
      </c>
      <c r="G76" s="3" t="s">
        <v>2459</v>
      </c>
      <c r="H76" s="3" t="s">
        <v>2460</v>
      </c>
      <c r="I76" s="3" t="s">
        <v>13</v>
      </c>
      <c r="J76" s="3" t="s">
        <v>2430</v>
      </c>
      <c r="K76" s="3" t="s">
        <v>572</v>
      </c>
    </row>
    <row r="77" spans="1:11" x14ac:dyDescent="0.3">
      <c r="A77" s="3">
        <v>73</v>
      </c>
      <c r="B77" s="3" t="s">
        <v>1987</v>
      </c>
      <c r="C77" s="3" t="s">
        <v>1988</v>
      </c>
      <c r="D77" s="3" t="s">
        <v>1801</v>
      </c>
      <c r="E77" s="3" t="s">
        <v>1985</v>
      </c>
      <c r="F77" s="3" t="s">
        <v>820</v>
      </c>
      <c r="G77" s="3" t="s">
        <v>1205</v>
      </c>
      <c r="H77" s="3" t="s">
        <v>2460</v>
      </c>
      <c r="I77" s="3" t="s">
        <v>13</v>
      </c>
      <c r="J77" s="3" t="s">
        <v>2430</v>
      </c>
      <c r="K77" s="3" t="s">
        <v>139</v>
      </c>
    </row>
    <row r="78" spans="1:11" x14ac:dyDescent="0.3">
      <c r="A78" s="3">
        <v>74</v>
      </c>
      <c r="B78" s="3" t="s">
        <v>1989</v>
      </c>
      <c r="C78" s="3" t="s">
        <v>1990</v>
      </c>
      <c r="D78" s="3" t="s">
        <v>1801</v>
      </c>
      <c r="E78" s="3" t="s">
        <v>1985</v>
      </c>
      <c r="F78" s="3" t="s">
        <v>1991</v>
      </c>
      <c r="G78" s="3" t="s">
        <v>950</v>
      </c>
      <c r="H78" s="3" t="s">
        <v>2460</v>
      </c>
      <c r="I78" s="3" t="s">
        <v>13</v>
      </c>
      <c r="J78" s="3" t="s">
        <v>2430</v>
      </c>
      <c r="K78" s="3" t="s">
        <v>205</v>
      </c>
    </row>
    <row r="79" spans="1:11" x14ac:dyDescent="0.3">
      <c r="A79" s="3">
        <v>75</v>
      </c>
      <c r="B79" s="3" t="s">
        <v>1992</v>
      </c>
      <c r="C79" s="3" t="s">
        <v>1993</v>
      </c>
      <c r="D79" s="3" t="s">
        <v>1801</v>
      </c>
      <c r="E79" s="3" t="s">
        <v>1994</v>
      </c>
      <c r="F79" s="3" t="s">
        <v>1995</v>
      </c>
      <c r="G79" s="3" t="s">
        <v>1007</v>
      </c>
      <c r="H79" s="3" t="s">
        <v>2461</v>
      </c>
      <c r="I79" s="3" t="s">
        <v>13</v>
      </c>
      <c r="J79" s="3" t="s">
        <v>2430</v>
      </c>
      <c r="K79" s="3" t="s">
        <v>98</v>
      </c>
    </row>
    <row r="80" spans="1:11" x14ac:dyDescent="0.3">
      <c r="A80" s="11">
        <v>76</v>
      </c>
      <c r="B80" s="11" t="s">
        <v>1626</v>
      </c>
      <c r="C80" s="11" t="s">
        <v>1712</v>
      </c>
      <c r="D80" s="11" t="s">
        <v>1801</v>
      </c>
      <c r="E80" s="11" t="s">
        <v>1996</v>
      </c>
      <c r="F80" s="11" t="s">
        <v>1997</v>
      </c>
      <c r="G80" s="11" t="s">
        <v>1178</v>
      </c>
      <c r="H80" s="11" t="s">
        <v>2462</v>
      </c>
      <c r="I80" s="11" t="s">
        <v>13</v>
      </c>
      <c r="J80" s="11" t="s">
        <v>2431</v>
      </c>
      <c r="K80" s="11" t="s">
        <v>14</v>
      </c>
    </row>
    <row r="81" spans="1:11" x14ac:dyDescent="0.3">
      <c r="A81" s="3">
        <v>77</v>
      </c>
      <c r="B81" s="3" t="s">
        <v>1998</v>
      </c>
      <c r="C81" s="3" t="s">
        <v>1999</v>
      </c>
      <c r="D81" s="3" t="s">
        <v>1801</v>
      </c>
      <c r="E81" s="3" t="s">
        <v>1996</v>
      </c>
      <c r="F81" s="3" t="s">
        <v>2000</v>
      </c>
      <c r="G81" s="3" t="s">
        <v>1330</v>
      </c>
      <c r="H81" s="3" t="s">
        <v>2462</v>
      </c>
      <c r="I81" s="3" t="s">
        <v>13</v>
      </c>
      <c r="J81" s="3" t="s">
        <v>2430</v>
      </c>
      <c r="K81" s="3" t="s">
        <v>43</v>
      </c>
    </row>
    <row r="82" spans="1:11" x14ac:dyDescent="0.3">
      <c r="A82" s="11">
        <v>78</v>
      </c>
      <c r="B82" s="11" t="s">
        <v>1010</v>
      </c>
      <c r="C82" s="11" t="s">
        <v>110</v>
      </c>
      <c r="D82" s="11" t="s">
        <v>1801</v>
      </c>
      <c r="E82" s="11" t="s">
        <v>1996</v>
      </c>
      <c r="F82" s="11" t="s">
        <v>2001</v>
      </c>
      <c r="G82" s="11" t="s">
        <v>1005</v>
      </c>
      <c r="H82" s="11" t="s">
        <v>2462</v>
      </c>
      <c r="I82" s="11" t="s">
        <v>13</v>
      </c>
      <c r="J82" s="11" t="s">
        <v>2431</v>
      </c>
      <c r="K82" s="11" t="s">
        <v>14</v>
      </c>
    </row>
    <row r="83" spans="1:11" x14ac:dyDescent="0.3">
      <c r="A83" s="12">
        <v>79</v>
      </c>
      <c r="B83" s="12" t="s">
        <v>2002</v>
      </c>
      <c r="C83" s="12" t="s">
        <v>2003</v>
      </c>
      <c r="D83" s="12" t="s">
        <v>1801</v>
      </c>
      <c r="E83" s="12" t="s">
        <v>1996</v>
      </c>
      <c r="F83" s="12" t="s">
        <v>2004</v>
      </c>
      <c r="G83" s="12" t="s">
        <v>2447</v>
      </c>
      <c r="H83" s="12" t="s">
        <v>2462</v>
      </c>
      <c r="I83" s="12" t="s">
        <v>13</v>
      </c>
      <c r="J83" s="12" t="s">
        <v>926</v>
      </c>
      <c r="K83" s="12" t="s">
        <v>66</v>
      </c>
    </row>
    <row r="84" spans="1:11" x14ac:dyDescent="0.3">
      <c r="A84" s="3">
        <v>80</v>
      </c>
      <c r="B84" s="3" t="s">
        <v>2005</v>
      </c>
      <c r="C84" s="3" t="s">
        <v>84</v>
      </c>
      <c r="D84" s="3" t="s">
        <v>1801</v>
      </c>
      <c r="E84" s="3" t="s">
        <v>1996</v>
      </c>
      <c r="F84" s="3" t="s">
        <v>2006</v>
      </c>
      <c r="G84" s="3" t="s">
        <v>962</v>
      </c>
      <c r="H84" s="3" t="s">
        <v>2462</v>
      </c>
      <c r="I84" s="3" t="s">
        <v>13</v>
      </c>
      <c r="J84" s="3" t="s">
        <v>2430</v>
      </c>
      <c r="K84" s="3" t="s">
        <v>224</v>
      </c>
    </row>
    <row r="85" spans="1:11" x14ac:dyDescent="0.3">
      <c r="A85" s="11">
        <v>81</v>
      </c>
      <c r="B85" s="11" t="s">
        <v>1000</v>
      </c>
      <c r="C85" s="11" t="s">
        <v>2007</v>
      </c>
      <c r="D85" s="11" t="s">
        <v>1801</v>
      </c>
      <c r="E85" s="11" t="s">
        <v>1996</v>
      </c>
      <c r="F85" s="11" t="s">
        <v>2008</v>
      </c>
      <c r="G85" s="11" t="s">
        <v>993</v>
      </c>
      <c r="H85" s="11" t="s">
        <v>2462</v>
      </c>
      <c r="I85" s="11" t="s">
        <v>13</v>
      </c>
      <c r="J85" s="11" t="s">
        <v>2431</v>
      </c>
      <c r="K85" s="11" t="s">
        <v>1701</v>
      </c>
    </row>
    <row r="86" spans="1:11" x14ac:dyDescent="0.3">
      <c r="A86" s="3">
        <v>82</v>
      </c>
      <c r="B86" s="3" t="s">
        <v>2009</v>
      </c>
      <c r="C86" s="3" t="s">
        <v>2010</v>
      </c>
      <c r="D86" s="3" t="s">
        <v>1801</v>
      </c>
      <c r="E86" s="3" t="s">
        <v>2011</v>
      </c>
      <c r="F86" s="3" t="s">
        <v>1707</v>
      </c>
      <c r="G86" s="3" t="s">
        <v>955</v>
      </c>
      <c r="H86" s="3" t="s">
        <v>2458</v>
      </c>
      <c r="I86" s="3" t="s">
        <v>13</v>
      </c>
      <c r="J86" s="3" t="s">
        <v>2430</v>
      </c>
      <c r="K86" s="3" t="s">
        <v>345</v>
      </c>
    </row>
    <row r="87" spans="1:11" x14ac:dyDescent="0.3">
      <c r="A87" s="3">
        <v>83</v>
      </c>
      <c r="B87" s="3" t="s">
        <v>2012</v>
      </c>
      <c r="C87" s="3" t="s">
        <v>2013</v>
      </c>
      <c r="D87" s="3" t="s">
        <v>1801</v>
      </c>
      <c r="E87" s="3" t="s">
        <v>2014</v>
      </c>
      <c r="F87" s="3" t="s">
        <v>2015</v>
      </c>
      <c r="G87" s="3" t="s">
        <v>1130</v>
      </c>
      <c r="H87" s="3" t="s">
        <v>2463</v>
      </c>
      <c r="I87" s="3" t="s">
        <v>13</v>
      </c>
      <c r="J87" s="3" t="s">
        <v>2430</v>
      </c>
      <c r="K87" s="3" t="s">
        <v>98</v>
      </c>
    </row>
    <row r="88" spans="1:11" x14ac:dyDescent="0.3">
      <c r="A88" s="3">
        <v>84</v>
      </c>
      <c r="B88" s="3" t="s">
        <v>2016</v>
      </c>
      <c r="C88" s="3" t="s">
        <v>2017</v>
      </c>
      <c r="D88" s="3" t="s">
        <v>1801</v>
      </c>
      <c r="E88" s="3" t="s">
        <v>2018</v>
      </c>
      <c r="F88" s="3" t="s">
        <v>2019</v>
      </c>
      <c r="G88" s="3" t="s">
        <v>2464</v>
      </c>
      <c r="H88" s="3" t="s">
        <v>2465</v>
      </c>
      <c r="I88" s="3" t="s">
        <v>13</v>
      </c>
      <c r="J88" s="3" t="s">
        <v>2430</v>
      </c>
      <c r="K88" s="3" t="s">
        <v>205</v>
      </c>
    </row>
    <row r="89" spans="1:11" x14ac:dyDescent="0.3">
      <c r="A89" s="3">
        <v>85</v>
      </c>
      <c r="B89" s="3" t="s">
        <v>2020</v>
      </c>
      <c r="C89" s="3" t="s">
        <v>2021</v>
      </c>
      <c r="D89" s="3" t="s">
        <v>1801</v>
      </c>
      <c r="E89" s="3" t="s">
        <v>2022</v>
      </c>
      <c r="F89" s="3" t="s">
        <v>48</v>
      </c>
      <c r="G89" s="3" t="s">
        <v>1053</v>
      </c>
      <c r="H89" s="3" t="s">
        <v>2453</v>
      </c>
      <c r="I89" s="3" t="s">
        <v>13</v>
      </c>
      <c r="J89" s="3" t="s">
        <v>2430</v>
      </c>
      <c r="K89" s="3" t="s">
        <v>36</v>
      </c>
    </row>
    <row r="90" spans="1:11" x14ac:dyDescent="0.3">
      <c r="A90" s="11">
        <v>86</v>
      </c>
      <c r="B90" s="11" t="s">
        <v>1502</v>
      </c>
      <c r="C90" s="11" t="s">
        <v>709</v>
      </c>
      <c r="D90" s="11" t="s">
        <v>1801</v>
      </c>
      <c r="E90" s="11" t="s">
        <v>2022</v>
      </c>
      <c r="F90" s="11" t="s">
        <v>2023</v>
      </c>
      <c r="G90" s="11" t="s">
        <v>950</v>
      </c>
      <c r="H90" s="11" t="s">
        <v>2453</v>
      </c>
      <c r="I90" s="11" t="s">
        <v>13</v>
      </c>
      <c r="J90" s="11" t="s">
        <v>2431</v>
      </c>
      <c r="K90" s="11" t="s">
        <v>30</v>
      </c>
    </row>
    <row r="91" spans="1:11" x14ac:dyDescent="0.3">
      <c r="A91" s="11">
        <v>87</v>
      </c>
      <c r="B91" s="11" t="s">
        <v>1807</v>
      </c>
      <c r="C91" s="11" t="s">
        <v>222</v>
      </c>
      <c r="D91" s="11" t="s">
        <v>1801</v>
      </c>
      <c r="E91" s="11" t="s">
        <v>2022</v>
      </c>
      <c r="F91" s="11" t="s">
        <v>2024</v>
      </c>
      <c r="G91" s="11" t="s">
        <v>1045</v>
      </c>
      <c r="H91" s="11" t="s">
        <v>2453</v>
      </c>
      <c r="I91" s="11" t="s">
        <v>13</v>
      </c>
      <c r="J91" s="11" t="s">
        <v>2431</v>
      </c>
      <c r="K91" s="11" t="s">
        <v>241</v>
      </c>
    </row>
    <row r="92" spans="1:11" x14ac:dyDescent="0.3">
      <c r="A92" s="3">
        <v>88</v>
      </c>
      <c r="B92" s="3" t="s">
        <v>2025</v>
      </c>
      <c r="C92" s="3" t="s">
        <v>2026</v>
      </c>
      <c r="D92" s="3" t="s">
        <v>1801</v>
      </c>
      <c r="E92" s="3" t="s">
        <v>2027</v>
      </c>
      <c r="F92" s="3" t="s">
        <v>39</v>
      </c>
      <c r="G92" s="3" t="s">
        <v>982</v>
      </c>
      <c r="H92" s="3" t="s">
        <v>2466</v>
      </c>
      <c r="I92" s="3" t="s">
        <v>13</v>
      </c>
      <c r="J92" s="3" t="s">
        <v>2430</v>
      </c>
      <c r="K92" s="3" t="s">
        <v>36</v>
      </c>
    </row>
    <row r="93" spans="1:11" x14ac:dyDescent="0.3">
      <c r="A93" s="11">
        <v>89</v>
      </c>
      <c r="B93" s="11" t="s">
        <v>1807</v>
      </c>
      <c r="C93" s="11" t="s">
        <v>222</v>
      </c>
      <c r="D93" s="11" t="s">
        <v>1801</v>
      </c>
      <c r="E93" s="11" t="s">
        <v>2027</v>
      </c>
      <c r="F93" s="11" t="s">
        <v>2028</v>
      </c>
      <c r="G93" s="11" t="s">
        <v>1122</v>
      </c>
      <c r="H93" s="11" t="s">
        <v>2466</v>
      </c>
      <c r="I93" s="11" t="s">
        <v>13</v>
      </c>
      <c r="J93" s="11" t="s">
        <v>2431</v>
      </c>
      <c r="K93" s="11" t="s">
        <v>118</v>
      </c>
    </row>
    <row r="94" spans="1:11" x14ac:dyDescent="0.3">
      <c r="A94" s="11">
        <v>90</v>
      </c>
      <c r="B94" s="11" t="s">
        <v>1000</v>
      </c>
      <c r="C94" s="11" t="s">
        <v>2029</v>
      </c>
      <c r="D94" s="11" t="s">
        <v>1801</v>
      </c>
      <c r="E94" s="11" t="s">
        <v>2027</v>
      </c>
      <c r="F94" s="11" t="s">
        <v>2019</v>
      </c>
      <c r="G94" s="11" t="s">
        <v>955</v>
      </c>
      <c r="H94" s="11" t="s">
        <v>2466</v>
      </c>
      <c r="I94" s="11" t="s">
        <v>13</v>
      </c>
      <c r="J94" s="11" t="s">
        <v>2431</v>
      </c>
      <c r="K94" s="11" t="s">
        <v>1701</v>
      </c>
    </row>
    <row r="95" spans="1:11" x14ac:dyDescent="0.3">
      <c r="A95" s="12">
        <v>91</v>
      </c>
      <c r="B95" s="12" t="s">
        <v>2030</v>
      </c>
      <c r="C95" s="12" t="s">
        <v>2031</v>
      </c>
      <c r="D95" s="12" t="s">
        <v>1801</v>
      </c>
      <c r="E95" s="12" t="s">
        <v>2032</v>
      </c>
      <c r="F95" s="12" t="s">
        <v>2033</v>
      </c>
      <c r="G95" s="12" t="s">
        <v>1286</v>
      </c>
      <c r="H95" s="12" t="s">
        <v>2467</v>
      </c>
      <c r="I95" s="12" t="s">
        <v>13</v>
      </c>
      <c r="J95" s="12" t="s">
        <v>926</v>
      </c>
      <c r="K95" s="12" t="s">
        <v>14</v>
      </c>
    </row>
    <row r="96" spans="1:11" x14ac:dyDescent="0.3">
      <c r="A96" s="3">
        <v>92</v>
      </c>
      <c r="B96" s="3" t="s">
        <v>2034</v>
      </c>
      <c r="C96" s="3" t="s">
        <v>2035</v>
      </c>
      <c r="D96" s="3" t="s">
        <v>1801</v>
      </c>
      <c r="E96" s="3" t="s">
        <v>2032</v>
      </c>
      <c r="F96" s="3" t="s">
        <v>2036</v>
      </c>
      <c r="G96" s="3" t="s">
        <v>1009</v>
      </c>
      <c r="H96" s="3" t="s">
        <v>2467</v>
      </c>
      <c r="I96" s="3" t="s">
        <v>13</v>
      </c>
      <c r="J96" s="3" t="s">
        <v>2430</v>
      </c>
      <c r="K96" s="3" t="s">
        <v>224</v>
      </c>
    </row>
    <row r="97" spans="1:11" x14ac:dyDescent="0.3">
      <c r="A97" s="11">
        <v>93</v>
      </c>
      <c r="B97" s="11" t="s">
        <v>1000</v>
      </c>
      <c r="C97" s="11" t="s">
        <v>37</v>
      </c>
      <c r="D97" s="11" t="s">
        <v>1801</v>
      </c>
      <c r="E97" s="11" t="s">
        <v>2032</v>
      </c>
      <c r="F97" s="11" t="s">
        <v>2037</v>
      </c>
      <c r="G97" s="11" t="s">
        <v>1136</v>
      </c>
      <c r="H97" s="11" t="s">
        <v>2467</v>
      </c>
      <c r="I97" s="11" t="s">
        <v>13</v>
      </c>
      <c r="J97" s="11" t="s">
        <v>2431</v>
      </c>
      <c r="K97" s="11" t="s">
        <v>14</v>
      </c>
    </row>
    <row r="98" spans="1:11" x14ac:dyDescent="0.3">
      <c r="A98" s="3">
        <v>94</v>
      </c>
      <c r="B98" s="3" t="s">
        <v>2038</v>
      </c>
      <c r="C98" s="3" t="s">
        <v>2039</v>
      </c>
      <c r="D98" s="3" t="s">
        <v>1801</v>
      </c>
      <c r="E98" s="3" t="s">
        <v>2040</v>
      </c>
      <c r="F98" s="3" t="s">
        <v>2041</v>
      </c>
      <c r="G98" s="3" t="s">
        <v>1247</v>
      </c>
      <c r="H98" s="3" t="s">
        <v>2453</v>
      </c>
      <c r="I98" s="3" t="s">
        <v>13</v>
      </c>
      <c r="J98" s="3" t="s">
        <v>2430</v>
      </c>
      <c r="K98" s="3" t="s">
        <v>2042</v>
      </c>
    </row>
    <row r="99" spans="1:11" x14ac:dyDescent="0.3">
      <c r="A99" s="3">
        <v>95</v>
      </c>
      <c r="B99" s="3" t="s">
        <v>2043</v>
      </c>
      <c r="C99" s="3" t="s">
        <v>2044</v>
      </c>
      <c r="D99" s="3" t="s">
        <v>1801</v>
      </c>
      <c r="E99" s="3" t="s">
        <v>2045</v>
      </c>
      <c r="F99" s="3" t="s">
        <v>2046</v>
      </c>
      <c r="G99" s="3" t="s">
        <v>1005</v>
      </c>
      <c r="H99" s="3" t="s">
        <v>2468</v>
      </c>
      <c r="I99" s="3" t="s">
        <v>13</v>
      </c>
      <c r="J99" s="3" t="s">
        <v>2430</v>
      </c>
      <c r="K99" s="3" t="s">
        <v>205</v>
      </c>
    </row>
    <row r="100" spans="1:11" x14ac:dyDescent="0.3">
      <c r="A100" s="3">
        <v>96</v>
      </c>
      <c r="B100" s="3" t="s">
        <v>2047</v>
      </c>
      <c r="C100" s="3" t="s">
        <v>2048</v>
      </c>
      <c r="D100" s="3" t="s">
        <v>1801</v>
      </c>
      <c r="E100" s="3" t="s">
        <v>2049</v>
      </c>
      <c r="F100" s="3" t="s">
        <v>2050</v>
      </c>
      <c r="G100" s="3" t="s">
        <v>1112</v>
      </c>
      <c r="H100" s="3" t="s">
        <v>2469</v>
      </c>
      <c r="I100" s="3" t="s">
        <v>13</v>
      </c>
      <c r="J100" s="3" t="s">
        <v>2430</v>
      </c>
      <c r="K100" s="3" t="s">
        <v>14</v>
      </c>
    </row>
    <row r="101" spans="1:11" x14ac:dyDescent="0.3">
      <c r="A101" s="3">
        <v>97</v>
      </c>
      <c r="B101" s="3" t="s">
        <v>2051</v>
      </c>
      <c r="C101" s="3" t="s">
        <v>2052</v>
      </c>
      <c r="D101" s="3" t="s">
        <v>1801</v>
      </c>
      <c r="E101" s="3" t="s">
        <v>2049</v>
      </c>
      <c r="F101" s="3" t="s">
        <v>2053</v>
      </c>
      <c r="G101" s="3" t="s">
        <v>938</v>
      </c>
      <c r="H101" s="3" t="s">
        <v>2469</v>
      </c>
      <c r="I101" s="3" t="s">
        <v>13</v>
      </c>
      <c r="J101" s="3" t="s">
        <v>2430</v>
      </c>
      <c r="K101" s="3" t="s">
        <v>2054</v>
      </c>
    </row>
    <row r="102" spans="1:11" x14ac:dyDescent="0.3">
      <c r="A102" s="12">
        <v>98</v>
      </c>
      <c r="B102" s="12" t="s">
        <v>2055</v>
      </c>
      <c r="C102" s="12" t="s">
        <v>2056</v>
      </c>
      <c r="D102" s="12" t="s">
        <v>1801</v>
      </c>
      <c r="E102" s="12" t="s">
        <v>2049</v>
      </c>
      <c r="F102" s="12" t="s">
        <v>2057</v>
      </c>
      <c r="G102" s="12" t="s">
        <v>2470</v>
      </c>
      <c r="H102" s="12" t="s">
        <v>2469</v>
      </c>
      <c r="I102" s="12" t="s">
        <v>13</v>
      </c>
      <c r="J102" s="12" t="s">
        <v>926</v>
      </c>
      <c r="K102" s="12" t="s">
        <v>14</v>
      </c>
    </row>
    <row r="103" spans="1:11" x14ac:dyDescent="0.3">
      <c r="A103" s="3">
        <v>99</v>
      </c>
      <c r="B103" s="3" t="s">
        <v>2058</v>
      </c>
      <c r="C103" s="3" t="s">
        <v>2059</v>
      </c>
      <c r="D103" s="3" t="s">
        <v>1801</v>
      </c>
      <c r="E103" s="3" t="s">
        <v>2049</v>
      </c>
      <c r="F103" s="3" t="s">
        <v>48</v>
      </c>
      <c r="G103" s="3" t="s">
        <v>1009</v>
      </c>
      <c r="H103" s="3" t="s">
        <v>2469</v>
      </c>
      <c r="I103" s="3" t="s">
        <v>13</v>
      </c>
      <c r="J103" s="3" t="s">
        <v>2430</v>
      </c>
      <c r="K103" s="3" t="s">
        <v>20</v>
      </c>
    </row>
    <row r="104" spans="1:11" x14ac:dyDescent="0.3">
      <c r="A104" s="3">
        <v>100</v>
      </c>
      <c r="B104" s="3" t="s">
        <v>2060</v>
      </c>
      <c r="C104" s="3" t="s">
        <v>2061</v>
      </c>
      <c r="D104" s="3" t="s">
        <v>1801</v>
      </c>
      <c r="E104" s="3" t="s">
        <v>2049</v>
      </c>
      <c r="F104" s="3" t="s">
        <v>2062</v>
      </c>
      <c r="G104" s="3" t="s">
        <v>955</v>
      </c>
      <c r="H104" s="3" t="s">
        <v>2469</v>
      </c>
      <c r="I104" s="3" t="s">
        <v>13</v>
      </c>
      <c r="J104" s="3" t="s">
        <v>2430</v>
      </c>
      <c r="K104" s="3" t="s">
        <v>14</v>
      </c>
    </row>
    <row r="105" spans="1:11" x14ac:dyDescent="0.3">
      <c r="A105" s="11">
        <v>101</v>
      </c>
      <c r="B105" s="11" t="s">
        <v>2063</v>
      </c>
      <c r="C105" s="11" t="s">
        <v>2064</v>
      </c>
      <c r="D105" s="11" t="s">
        <v>1801</v>
      </c>
      <c r="E105" s="11" t="s">
        <v>2065</v>
      </c>
      <c r="F105" s="11" t="s">
        <v>2066</v>
      </c>
      <c r="G105" s="11" t="s">
        <v>2471</v>
      </c>
      <c r="H105" s="11" t="s">
        <v>2472</v>
      </c>
      <c r="I105" s="11" t="s">
        <v>13</v>
      </c>
      <c r="J105" s="11" t="s">
        <v>2431</v>
      </c>
      <c r="K105" s="11" t="s">
        <v>20</v>
      </c>
    </row>
    <row r="106" spans="1:11" x14ac:dyDescent="0.3">
      <c r="A106" s="3">
        <v>102</v>
      </c>
      <c r="B106" s="3" t="s">
        <v>2067</v>
      </c>
      <c r="C106" s="3" t="s">
        <v>2068</v>
      </c>
      <c r="D106" s="3" t="s">
        <v>1801</v>
      </c>
      <c r="E106" s="3" t="s">
        <v>2065</v>
      </c>
      <c r="F106" s="3" t="s">
        <v>2069</v>
      </c>
      <c r="G106" s="3" t="s">
        <v>1340</v>
      </c>
      <c r="H106" s="3" t="s">
        <v>2472</v>
      </c>
      <c r="I106" s="3" t="s">
        <v>13</v>
      </c>
      <c r="J106" s="3" t="s">
        <v>2430</v>
      </c>
      <c r="K106" s="3" t="s">
        <v>139</v>
      </c>
    </row>
    <row r="107" spans="1:11" x14ac:dyDescent="0.3">
      <c r="A107" s="3">
        <v>103</v>
      </c>
      <c r="B107" s="3" t="s">
        <v>2070</v>
      </c>
      <c r="C107" s="3" t="s">
        <v>2071</v>
      </c>
      <c r="D107" s="3" t="s">
        <v>1801</v>
      </c>
      <c r="E107" s="3" t="s">
        <v>2072</v>
      </c>
      <c r="F107" s="3" t="s">
        <v>820</v>
      </c>
      <c r="G107" s="3" t="s">
        <v>999</v>
      </c>
      <c r="H107" s="3" t="s">
        <v>2473</v>
      </c>
      <c r="I107" s="3" t="s">
        <v>13</v>
      </c>
      <c r="J107" s="3" t="s">
        <v>2430</v>
      </c>
      <c r="K107" s="3" t="s">
        <v>118</v>
      </c>
    </row>
    <row r="108" spans="1:11" x14ac:dyDescent="0.3">
      <c r="A108" s="3">
        <v>104</v>
      </c>
      <c r="B108" s="3" t="s">
        <v>2073</v>
      </c>
      <c r="C108" s="3" t="s">
        <v>2074</v>
      </c>
      <c r="D108" s="3" t="s">
        <v>1801</v>
      </c>
      <c r="E108" s="3" t="s">
        <v>2072</v>
      </c>
      <c r="F108" s="3" t="s">
        <v>2075</v>
      </c>
      <c r="G108" s="3" t="s">
        <v>2442</v>
      </c>
      <c r="H108" s="3" t="s">
        <v>2473</v>
      </c>
      <c r="I108" s="3" t="s">
        <v>13</v>
      </c>
      <c r="J108" s="3" t="s">
        <v>2430</v>
      </c>
      <c r="K108" s="3" t="s">
        <v>27</v>
      </c>
    </row>
    <row r="109" spans="1:11" x14ac:dyDescent="0.3">
      <c r="A109" s="3">
        <v>105</v>
      </c>
      <c r="B109" s="3" t="s">
        <v>2076</v>
      </c>
      <c r="C109" s="3" t="s">
        <v>2077</v>
      </c>
      <c r="D109" s="3" t="s">
        <v>1801</v>
      </c>
      <c r="E109" s="3" t="s">
        <v>2078</v>
      </c>
      <c r="F109" s="3" t="s">
        <v>2079</v>
      </c>
      <c r="G109" s="3" t="s">
        <v>1136</v>
      </c>
      <c r="H109" s="3" t="s">
        <v>2474</v>
      </c>
      <c r="I109" s="3" t="s">
        <v>13</v>
      </c>
      <c r="J109" s="3" t="s">
        <v>2430</v>
      </c>
      <c r="K109" s="3" t="s">
        <v>205</v>
      </c>
    </row>
    <row r="110" spans="1:11" x14ac:dyDescent="0.3">
      <c r="A110" s="12">
        <v>106</v>
      </c>
      <c r="B110" s="12" t="s">
        <v>2080</v>
      </c>
      <c r="C110" s="12" t="s">
        <v>2081</v>
      </c>
      <c r="D110" s="12" t="s">
        <v>1801</v>
      </c>
      <c r="E110" s="12" t="s">
        <v>2078</v>
      </c>
      <c r="F110" s="12" t="s">
        <v>2082</v>
      </c>
      <c r="G110" s="12" t="s">
        <v>1541</v>
      </c>
      <c r="H110" s="12" t="s">
        <v>2474</v>
      </c>
      <c r="I110" s="12" t="s">
        <v>13</v>
      </c>
      <c r="J110" s="12" t="s">
        <v>926</v>
      </c>
      <c r="K110" s="12" t="s">
        <v>43</v>
      </c>
    </row>
    <row r="111" spans="1:11" x14ac:dyDescent="0.3">
      <c r="A111" s="11">
        <v>107</v>
      </c>
      <c r="B111" s="11" t="s">
        <v>1010</v>
      </c>
      <c r="C111" s="11" t="s">
        <v>110</v>
      </c>
      <c r="D111" s="11" t="s">
        <v>1801</v>
      </c>
      <c r="E111" s="11" t="s">
        <v>2078</v>
      </c>
      <c r="F111" s="11" t="s">
        <v>1666</v>
      </c>
      <c r="G111" s="11" t="s">
        <v>1526</v>
      </c>
      <c r="H111" s="11" t="s">
        <v>2474</v>
      </c>
      <c r="I111" s="11" t="s">
        <v>13</v>
      </c>
      <c r="J111" s="11" t="s">
        <v>2431</v>
      </c>
      <c r="K111" s="11" t="s">
        <v>14</v>
      </c>
    </row>
    <row r="112" spans="1:11" x14ac:dyDescent="0.3">
      <c r="A112" s="3">
        <v>108</v>
      </c>
      <c r="B112" s="3" t="s">
        <v>2083</v>
      </c>
      <c r="C112" s="3" t="s">
        <v>2084</v>
      </c>
      <c r="D112" s="3" t="s">
        <v>1801</v>
      </c>
      <c r="E112" s="3" t="s">
        <v>2085</v>
      </c>
      <c r="F112" s="3" t="s">
        <v>865</v>
      </c>
      <c r="G112" s="3" t="s">
        <v>1130</v>
      </c>
      <c r="H112" s="3" t="s">
        <v>2475</v>
      </c>
      <c r="I112" s="3" t="s">
        <v>13</v>
      </c>
      <c r="J112" s="3" t="s">
        <v>2430</v>
      </c>
      <c r="K112" s="3" t="s">
        <v>139</v>
      </c>
    </row>
    <row r="113" spans="1:11" x14ac:dyDescent="0.3">
      <c r="A113" s="11">
        <v>109</v>
      </c>
      <c r="B113" s="11" t="s">
        <v>2086</v>
      </c>
      <c r="C113" s="11" t="s">
        <v>2087</v>
      </c>
      <c r="D113" s="11" t="s">
        <v>1801</v>
      </c>
      <c r="E113" s="11" t="s">
        <v>2085</v>
      </c>
      <c r="F113" s="11" t="s">
        <v>2088</v>
      </c>
      <c r="G113" s="11" t="s">
        <v>1040</v>
      </c>
      <c r="H113" s="11" t="s">
        <v>2475</v>
      </c>
      <c r="I113" s="11" t="s">
        <v>13</v>
      </c>
      <c r="J113" s="11" t="s">
        <v>2431</v>
      </c>
      <c r="K113" s="11" t="s">
        <v>115</v>
      </c>
    </row>
    <row r="114" spans="1:11" x14ac:dyDescent="0.3">
      <c r="A114" s="11">
        <v>110</v>
      </c>
      <c r="B114" s="11" t="s">
        <v>2086</v>
      </c>
      <c r="C114" s="11" t="s">
        <v>2087</v>
      </c>
      <c r="D114" s="11" t="s">
        <v>1801</v>
      </c>
      <c r="E114" s="11" t="s">
        <v>2085</v>
      </c>
      <c r="F114" s="11" t="s">
        <v>1680</v>
      </c>
      <c r="G114" s="11" t="s">
        <v>965</v>
      </c>
      <c r="H114" s="11" t="s">
        <v>2475</v>
      </c>
      <c r="I114" s="11" t="s">
        <v>13</v>
      </c>
      <c r="J114" s="11" t="s">
        <v>2431</v>
      </c>
      <c r="K114" s="11" t="s">
        <v>115</v>
      </c>
    </row>
    <row r="115" spans="1:11" x14ac:dyDescent="0.3">
      <c r="A115" s="3">
        <v>111</v>
      </c>
      <c r="B115" s="3" t="s">
        <v>2089</v>
      </c>
      <c r="C115" s="3" t="s">
        <v>2090</v>
      </c>
      <c r="D115" s="3" t="s">
        <v>1801</v>
      </c>
      <c r="E115" s="3" t="s">
        <v>2085</v>
      </c>
      <c r="F115" s="3" t="s">
        <v>1833</v>
      </c>
      <c r="G115" s="3" t="s">
        <v>1018</v>
      </c>
      <c r="H115" s="3" t="s">
        <v>2475</v>
      </c>
      <c r="I115" s="3" t="s">
        <v>13</v>
      </c>
      <c r="J115" s="3" t="s">
        <v>2430</v>
      </c>
      <c r="K115" s="3" t="s">
        <v>27</v>
      </c>
    </row>
    <row r="116" spans="1:11" x14ac:dyDescent="0.3">
      <c r="A116" s="11">
        <v>112</v>
      </c>
      <c r="B116" s="11" t="s">
        <v>1836</v>
      </c>
      <c r="C116" s="11" t="s">
        <v>119</v>
      </c>
      <c r="D116" s="11" t="s">
        <v>1801</v>
      </c>
      <c r="E116" s="11" t="s">
        <v>2085</v>
      </c>
      <c r="F116" s="11" t="s">
        <v>2088</v>
      </c>
      <c r="G116" s="11" t="s">
        <v>1005</v>
      </c>
      <c r="H116" s="11" t="s">
        <v>2475</v>
      </c>
      <c r="I116" s="11" t="s">
        <v>13</v>
      </c>
      <c r="J116" s="11" t="s">
        <v>2431</v>
      </c>
      <c r="K116" s="11" t="s">
        <v>14</v>
      </c>
    </row>
    <row r="117" spans="1:11" x14ac:dyDescent="0.3">
      <c r="A117" s="12">
        <v>113</v>
      </c>
      <c r="B117" s="12" t="s">
        <v>2091</v>
      </c>
      <c r="C117" s="12" t="s">
        <v>2092</v>
      </c>
      <c r="D117" s="12" t="s">
        <v>1801</v>
      </c>
      <c r="E117" s="12" t="s">
        <v>2085</v>
      </c>
      <c r="F117" s="12" t="s">
        <v>1833</v>
      </c>
      <c r="G117" s="12" t="s">
        <v>1005</v>
      </c>
      <c r="H117" s="12" t="s">
        <v>2475</v>
      </c>
      <c r="I117" s="12" t="s">
        <v>13</v>
      </c>
      <c r="J117" s="12" t="s">
        <v>926</v>
      </c>
      <c r="K117" s="12" t="s">
        <v>1932</v>
      </c>
    </row>
    <row r="118" spans="1:11" x14ac:dyDescent="0.3">
      <c r="A118" s="3">
        <v>114</v>
      </c>
      <c r="B118" s="3" t="s">
        <v>2093</v>
      </c>
      <c r="C118" s="3" t="s">
        <v>2094</v>
      </c>
      <c r="D118" s="3" t="s">
        <v>1801</v>
      </c>
      <c r="E118" s="3" t="s">
        <v>2095</v>
      </c>
      <c r="F118" s="3" t="s">
        <v>2096</v>
      </c>
      <c r="G118" s="3" t="s">
        <v>1045</v>
      </c>
      <c r="H118" s="3" t="s">
        <v>2476</v>
      </c>
      <c r="I118" s="3" t="s">
        <v>13</v>
      </c>
      <c r="J118" s="3" t="s">
        <v>2430</v>
      </c>
      <c r="K118" s="3" t="s">
        <v>488</v>
      </c>
    </row>
    <row r="119" spans="1:11" x14ac:dyDescent="0.3">
      <c r="A119" s="11">
        <v>115</v>
      </c>
      <c r="B119" s="11" t="s">
        <v>931</v>
      </c>
      <c r="C119" s="11" t="s">
        <v>9</v>
      </c>
      <c r="D119" s="11" t="s">
        <v>1801</v>
      </c>
      <c r="E119" s="11" t="s">
        <v>2097</v>
      </c>
      <c r="F119" s="11" t="s">
        <v>263</v>
      </c>
      <c r="G119" s="11" t="s">
        <v>1005</v>
      </c>
      <c r="H119" s="11" t="s">
        <v>2477</v>
      </c>
      <c r="I119" s="11" t="s">
        <v>13</v>
      </c>
      <c r="J119" s="11" t="s">
        <v>2431</v>
      </c>
      <c r="K119" s="11" t="s">
        <v>14</v>
      </c>
    </row>
    <row r="120" spans="1:11" x14ac:dyDescent="0.3">
      <c r="A120" s="3">
        <v>116</v>
      </c>
      <c r="B120" s="3" t="s">
        <v>2098</v>
      </c>
      <c r="C120" s="3" t="s">
        <v>2099</v>
      </c>
      <c r="D120" s="3" t="s">
        <v>1801</v>
      </c>
      <c r="E120" s="3" t="s">
        <v>2097</v>
      </c>
      <c r="F120" s="3" t="s">
        <v>1974</v>
      </c>
      <c r="G120" s="3" t="s">
        <v>965</v>
      </c>
      <c r="H120" s="3" t="s">
        <v>2477</v>
      </c>
      <c r="I120" s="3" t="s">
        <v>13</v>
      </c>
      <c r="J120" s="3" t="s">
        <v>2430</v>
      </c>
      <c r="K120" s="3" t="s">
        <v>488</v>
      </c>
    </row>
    <row r="121" spans="1:11" x14ac:dyDescent="0.3">
      <c r="A121" s="3">
        <v>117</v>
      </c>
      <c r="B121" s="3" t="s">
        <v>2100</v>
      </c>
      <c r="C121" s="3" t="s">
        <v>2101</v>
      </c>
      <c r="D121" s="3" t="s">
        <v>1801</v>
      </c>
      <c r="E121" s="3" t="s">
        <v>2097</v>
      </c>
      <c r="F121" s="3" t="s">
        <v>2102</v>
      </c>
      <c r="G121" s="3" t="s">
        <v>1332</v>
      </c>
      <c r="H121" s="3" t="s">
        <v>2477</v>
      </c>
      <c r="I121" s="3" t="s">
        <v>13</v>
      </c>
      <c r="J121" s="3" t="s">
        <v>2430</v>
      </c>
      <c r="K121" s="3" t="s">
        <v>224</v>
      </c>
    </row>
    <row r="122" spans="1:11" x14ac:dyDescent="0.3">
      <c r="A122" s="11">
        <v>118</v>
      </c>
      <c r="B122" s="11" t="s">
        <v>2103</v>
      </c>
      <c r="C122" s="11" t="s">
        <v>101</v>
      </c>
      <c r="D122" s="11" t="s">
        <v>1801</v>
      </c>
      <c r="E122" s="11" t="s">
        <v>2104</v>
      </c>
      <c r="F122" s="11" t="s">
        <v>1974</v>
      </c>
      <c r="G122" s="11" t="s">
        <v>999</v>
      </c>
      <c r="H122" s="11" t="s">
        <v>2449</v>
      </c>
      <c r="I122" s="11" t="s">
        <v>13</v>
      </c>
      <c r="J122" s="11" t="s">
        <v>2431</v>
      </c>
      <c r="K122" s="11" t="s">
        <v>27</v>
      </c>
    </row>
    <row r="123" spans="1:11" x14ac:dyDescent="0.3">
      <c r="A123" s="3">
        <v>119</v>
      </c>
      <c r="B123" s="3" t="s">
        <v>2105</v>
      </c>
      <c r="C123" s="3" t="s">
        <v>2106</v>
      </c>
      <c r="D123" s="3" t="s">
        <v>1801</v>
      </c>
      <c r="E123" s="3" t="s">
        <v>2107</v>
      </c>
      <c r="F123" s="3" t="s">
        <v>2108</v>
      </c>
      <c r="G123" s="3" t="s">
        <v>2478</v>
      </c>
      <c r="H123" s="3" t="s">
        <v>2479</v>
      </c>
      <c r="I123" s="3" t="s">
        <v>13</v>
      </c>
      <c r="J123" s="3" t="s">
        <v>2430</v>
      </c>
      <c r="K123" s="3" t="s">
        <v>205</v>
      </c>
    </row>
    <row r="124" spans="1:11" x14ac:dyDescent="0.3">
      <c r="A124" s="3">
        <v>120</v>
      </c>
      <c r="B124" s="3" t="s">
        <v>2109</v>
      </c>
      <c r="C124" s="3" t="s">
        <v>2109</v>
      </c>
      <c r="D124" s="3" t="s">
        <v>1801</v>
      </c>
      <c r="E124" s="3" t="s">
        <v>2110</v>
      </c>
      <c r="F124" s="3" t="s">
        <v>2111</v>
      </c>
      <c r="G124" s="3" t="s">
        <v>2480</v>
      </c>
      <c r="H124" s="3" t="s">
        <v>2481</v>
      </c>
      <c r="I124" s="3" t="s">
        <v>13</v>
      </c>
      <c r="J124" s="3" t="s">
        <v>2430</v>
      </c>
      <c r="K124" s="3" t="s">
        <v>14</v>
      </c>
    </row>
    <row r="125" spans="1:11" x14ac:dyDescent="0.3">
      <c r="A125" s="3">
        <v>121</v>
      </c>
      <c r="B125" s="3" t="s">
        <v>2112</v>
      </c>
      <c r="C125" s="3" t="s">
        <v>2113</v>
      </c>
      <c r="D125" s="3" t="s">
        <v>1801</v>
      </c>
      <c r="E125" s="3" t="s">
        <v>2110</v>
      </c>
      <c r="F125" s="3" t="s">
        <v>2114</v>
      </c>
      <c r="G125" s="3" t="s">
        <v>2482</v>
      </c>
      <c r="H125" s="3" t="s">
        <v>2481</v>
      </c>
      <c r="I125" s="3" t="s">
        <v>13</v>
      </c>
      <c r="J125" s="3" t="s">
        <v>2430</v>
      </c>
      <c r="K125" s="3" t="s">
        <v>14</v>
      </c>
    </row>
    <row r="126" spans="1:11" x14ac:dyDescent="0.3">
      <c r="A126" s="11">
        <v>122</v>
      </c>
      <c r="B126" s="11" t="s">
        <v>1644</v>
      </c>
      <c r="C126" s="11" t="s">
        <v>2115</v>
      </c>
      <c r="D126" s="11" t="s">
        <v>1801</v>
      </c>
      <c r="E126" s="11" t="s">
        <v>2110</v>
      </c>
      <c r="F126" s="11" t="s">
        <v>2116</v>
      </c>
      <c r="G126" s="11" t="s">
        <v>1136</v>
      </c>
      <c r="H126" s="11" t="s">
        <v>2481</v>
      </c>
      <c r="I126" s="11" t="s">
        <v>13</v>
      </c>
      <c r="J126" s="11" t="s">
        <v>2431</v>
      </c>
      <c r="K126" s="11" t="s">
        <v>115</v>
      </c>
    </row>
    <row r="127" spans="1:11" x14ac:dyDescent="0.3">
      <c r="A127" s="12">
        <v>123</v>
      </c>
      <c r="B127" s="12" t="s">
        <v>2117</v>
      </c>
      <c r="C127" s="12" t="s">
        <v>2118</v>
      </c>
      <c r="D127" s="12" t="s">
        <v>1801</v>
      </c>
      <c r="E127" s="12" t="s">
        <v>2119</v>
      </c>
      <c r="F127" s="12" t="s">
        <v>2120</v>
      </c>
      <c r="G127" s="12" t="s">
        <v>938</v>
      </c>
      <c r="H127" s="12" t="s">
        <v>2452</v>
      </c>
      <c r="I127" s="12" t="s">
        <v>13</v>
      </c>
      <c r="J127" s="12" t="s">
        <v>926</v>
      </c>
      <c r="K127" s="12" t="s">
        <v>43</v>
      </c>
    </row>
    <row r="128" spans="1:11" x14ac:dyDescent="0.3">
      <c r="A128" s="11">
        <v>124</v>
      </c>
      <c r="B128" s="11" t="s">
        <v>1644</v>
      </c>
      <c r="C128" s="11" t="s">
        <v>2121</v>
      </c>
      <c r="D128" s="11" t="s">
        <v>1801</v>
      </c>
      <c r="E128" s="11" t="s">
        <v>2119</v>
      </c>
      <c r="F128" s="11" t="s">
        <v>2122</v>
      </c>
      <c r="G128" s="11" t="s">
        <v>1003</v>
      </c>
      <c r="H128" s="11" t="s">
        <v>2452</v>
      </c>
      <c r="I128" s="11" t="s">
        <v>13</v>
      </c>
      <c r="J128" s="11" t="s">
        <v>2431</v>
      </c>
      <c r="K128" s="11" t="s">
        <v>14</v>
      </c>
    </row>
    <row r="129" spans="1:11" x14ac:dyDescent="0.3">
      <c r="A129" s="11">
        <v>125</v>
      </c>
      <c r="B129" s="11" t="s">
        <v>2123</v>
      </c>
      <c r="C129" s="11" t="s">
        <v>2124</v>
      </c>
      <c r="D129" s="11" t="s">
        <v>1801</v>
      </c>
      <c r="E129" s="11" t="s">
        <v>2125</v>
      </c>
      <c r="F129" s="11" t="s">
        <v>2126</v>
      </c>
      <c r="G129" s="11" t="s">
        <v>2483</v>
      </c>
      <c r="H129" s="11" t="s">
        <v>2484</v>
      </c>
      <c r="I129" s="11" t="s">
        <v>13</v>
      </c>
      <c r="J129" s="11" t="s">
        <v>2431</v>
      </c>
      <c r="K129" s="11" t="s">
        <v>118</v>
      </c>
    </row>
    <row r="130" spans="1:11" x14ac:dyDescent="0.3">
      <c r="A130" s="3">
        <v>126</v>
      </c>
      <c r="B130" s="3" t="s">
        <v>2127</v>
      </c>
      <c r="C130" s="3" t="s">
        <v>2128</v>
      </c>
      <c r="D130" s="3" t="s">
        <v>1801</v>
      </c>
      <c r="E130" s="3" t="s">
        <v>2129</v>
      </c>
      <c r="F130" s="3" t="s">
        <v>2130</v>
      </c>
      <c r="G130" s="3" t="s">
        <v>1398</v>
      </c>
      <c r="H130" s="3" t="s">
        <v>2449</v>
      </c>
      <c r="I130" s="3" t="s">
        <v>13</v>
      </c>
      <c r="J130" s="3" t="s">
        <v>2430</v>
      </c>
      <c r="K130" s="3" t="s">
        <v>27</v>
      </c>
    </row>
    <row r="131" spans="1:11" x14ac:dyDescent="0.3">
      <c r="A131" s="11">
        <v>127</v>
      </c>
      <c r="B131" s="11" t="s">
        <v>2131</v>
      </c>
      <c r="C131" s="11" t="s">
        <v>759</v>
      </c>
      <c r="D131" s="11" t="s">
        <v>1801</v>
      </c>
      <c r="E131" s="11" t="s">
        <v>2129</v>
      </c>
      <c r="F131" s="11" t="s">
        <v>1659</v>
      </c>
      <c r="G131" s="11" t="s">
        <v>1056</v>
      </c>
      <c r="H131" s="11" t="s">
        <v>2449</v>
      </c>
      <c r="I131" s="11" t="s">
        <v>13</v>
      </c>
      <c r="J131" s="11" t="s">
        <v>2431</v>
      </c>
      <c r="K131" s="11" t="s">
        <v>241</v>
      </c>
    </row>
    <row r="132" spans="1:11" x14ac:dyDescent="0.3">
      <c r="A132" s="3">
        <v>128</v>
      </c>
      <c r="B132" s="3" t="s">
        <v>2132</v>
      </c>
      <c r="C132" s="3" t="s">
        <v>2133</v>
      </c>
      <c r="D132" s="3" t="s">
        <v>1801</v>
      </c>
      <c r="E132" s="3" t="s">
        <v>2134</v>
      </c>
      <c r="F132" s="3" t="s">
        <v>2135</v>
      </c>
      <c r="G132" s="3" t="s">
        <v>1332</v>
      </c>
      <c r="H132" s="3" t="s">
        <v>2485</v>
      </c>
      <c r="I132" s="3" t="s">
        <v>13</v>
      </c>
      <c r="J132" s="3" t="s">
        <v>2430</v>
      </c>
      <c r="K132" s="3" t="s">
        <v>285</v>
      </c>
    </row>
    <row r="133" spans="1:11" x14ac:dyDescent="0.3">
      <c r="A133" s="3">
        <v>129</v>
      </c>
      <c r="B133" s="3" t="s">
        <v>2136</v>
      </c>
      <c r="C133" s="3" t="s">
        <v>2137</v>
      </c>
      <c r="D133" s="3" t="s">
        <v>1801</v>
      </c>
      <c r="E133" s="3" t="s">
        <v>2138</v>
      </c>
      <c r="F133" s="3" t="s">
        <v>2139</v>
      </c>
      <c r="G133" s="3" t="s">
        <v>1330</v>
      </c>
      <c r="H133" s="3" t="s">
        <v>2486</v>
      </c>
      <c r="I133" s="3" t="s">
        <v>13</v>
      </c>
      <c r="J133" s="3" t="s">
        <v>2430</v>
      </c>
      <c r="K133" s="3" t="s">
        <v>139</v>
      </c>
    </row>
    <row r="134" spans="1:11" x14ac:dyDescent="0.3">
      <c r="A134" s="11">
        <v>130</v>
      </c>
      <c r="B134" s="11" t="s">
        <v>2140</v>
      </c>
      <c r="C134" s="11" t="s">
        <v>2141</v>
      </c>
      <c r="D134" s="11" t="s">
        <v>1801</v>
      </c>
      <c r="E134" s="11" t="s">
        <v>2142</v>
      </c>
      <c r="F134" s="11" t="s">
        <v>2143</v>
      </c>
      <c r="G134" s="11" t="s">
        <v>1065</v>
      </c>
      <c r="H134" s="11" t="s">
        <v>2487</v>
      </c>
      <c r="I134" s="11" t="s">
        <v>13</v>
      </c>
      <c r="J134" s="11" t="s">
        <v>2431</v>
      </c>
      <c r="K134" s="11" t="s">
        <v>115</v>
      </c>
    </row>
    <row r="135" spans="1:11" x14ac:dyDescent="0.3">
      <c r="A135" s="11">
        <v>131</v>
      </c>
      <c r="B135" s="11" t="s">
        <v>2144</v>
      </c>
      <c r="C135" s="11" t="s">
        <v>2145</v>
      </c>
      <c r="D135" s="11" t="s">
        <v>1801</v>
      </c>
      <c r="E135" s="11" t="s">
        <v>2146</v>
      </c>
      <c r="F135" s="11" t="s">
        <v>69</v>
      </c>
      <c r="G135" s="11" t="s">
        <v>965</v>
      </c>
      <c r="H135" s="11" t="s">
        <v>2488</v>
      </c>
      <c r="I135" s="11" t="s">
        <v>13</v>
      </c>
      <c r="J135" s="11" t="s">
        <v>2431</v>
      </c>
      <c r="K135" s="11" t="s">
        <v>14</v>
      </c>
    </row>
    <row r="136" spans="1:11" x14ac:dyDescent="0.3">
      <c r="A136" s="3">
        <v>132</v>
      </c>
      <c r="B136" s="3" t="s">
        <v>2147</v>
      </c>
      <c r="C136" s="3" t="s">
        <v>2148</v>
      </c>
      <c r="D136" s="3" t="s">
        <v>1801</v>
      </c>
      <c r="E136" s="3" t="s">
        <v>2146</v>
      </c>
      <c r="F136" s="3" t="s">
        <v>2149</v>
      </c>
      <c r="G136" s="3" t="s">
        <v>935</v>
      </c>
      <c r="H136" s="3" t="s">
        <v>2488</v>
      </c>
      <c r="I136" s="3" t="s">
        <v>13</v>
      </c>
      <c r="J136" s="3" t="s">
        <v>2430</v>
      </c>
      <c r="K136" s="3" t="s">
        <v>20</v>
      </c>
    </row>
    <row r="137" spans="1:11" x14ac:dyDescent="0.3">
      <c r="A137" s="11">
        <v>133</v>
      </c>
      <c r="B137" s="11" t="s">
        <v>1836</v>
      </c>
      <c r="C137" s="11" t="s">
        <v>119</v>
      </c>
      <c r="D137" s="11" t="s">
        <v>1801</v>
      </c>
      <c r="E137" s="11" t="s">
        <v>2146</v>
      </c>
      <c r="F137" s="11" t="s">
        <v>2150</v>
      </c>
      <c r="G137" s="11" t="s">
        <v>1247</v>
      </c>
      <c r="H137" s="11" t="s">
        <v>2488</v>
      </c>
      <c r="I137" s="11" t="s">
        <v>13</v>
      </c>
      <c r="J137" s="11" t="s">
        <v>2431</v>
      </c>
      <c r="K137" s="11" t="s">
        <v>14</v>
      </c>
    </row>
    <row r="138" spans="1:11" x14ac:dyDescent="0.3">
      <c r="A138" s="3">
        <v>134</v>
      </c>
      <c r="B138" s="3" t="s">
        <v>2151</v>
      </c>
      <c r="C138" s="3" t="s">
        <v>2152</v>
      </c>
      <c r="D138" s="3" t="s">
        <v>1801</v>
      </c>
      <c r="E138" s="3" t="s">
        <v>2153</v>
      </c>
      <c r="F138" s="3" t="s">
        <v>2154</v>
      </c>
      <c r="G138" s="3" t="s">
        <v>984</v>
      </c>
      <c r="H138" s="3" t="s">
        <v>2489</v>
      </c>
      <c r="I138" s="3" t="s">
        <v>13</v>
      </c>
      <c r="J138" s="3" t="s">
        <v>2430</v>
      </c>
      <c r="K138" s="3" t="s">
        <v>98</v>
      </c>
    </row>
    <row r="139" spans="1:11" x14ac:dyDescent="0.3">
      <c r="A139" s="3">
        <v>135</v>
      </c>
      <c r="B139" s="3" t="s">
        <v>2155</v>
      </c>
      <c r="C139" s="3" t="s">
        <v>2156</v>
      </c>
      <c r="D139" s="3" t="s">
        <v>1801</v>
      </c>
      <c r="E139" s="3" t="s">
        <v>2153</v>
      </c>
      <c r="F139" s="3" t="s">
        <v>2157</v>
      </c>
      <c r="G139" s="3" t="s">
        <v>1500</v>
      </c>
      <c r="H139" s="3" t="s">
        <v>2489</v>
      </c>
      <c r="I139" s="3" t="s">
        <v>13</v>
      </c>
      <c r="J139" s="3" t="s">
        <v>2430</v>
      </c>
      <c r="K139" s="3" t="s">
        <v>125</v>
      </c>
    </row>
    <row r="140" spans="1:11" x14ac:dyDescent="0.3">
      <c r="A140" s="11">
        <v>136</v>
      </c>
      <c r="B140" s="11" t="s">
        <v>1836</v>
      </c>
      <c r="C140" s="11" t="s">
        <v>119</v>
      </c>
      <c r="D140" s="11" t="s">
        <v>1801</v>
      </c>
      <c r="E140" s="11" t="s">
        <v>2153</v>
      </c>
      <c r="F140" s="11" t="s">
        <v>2158</v>
      </c>
      <c r="G140" s="11" t="s">
        <v>1572</v>
      </c>
      <c r="H140" s="11" t="s">
        <v>2489</v>
      </c>
      <c r="I140" s="11" t="s">
        <v>13</v>
      </c>
      <c r="J140" s="11" t="s">
        <v>2431</v>
      </c>
      <c r="K140" s="11" t="s">
        <v>14</v>
      </c>
    </row>
    <row r="141" spans="1:11" x14ac:dyDescent="0.3">
      <c r="A141" s="11">
        <v>137</v>
      </c>
      <c r="B141" s="11" t="s">
        <v>1000</v>
      </c>
      <c r="C141" s="11" t="s">
        <v>2159</v>
      </c>
      <c r="D141" s="11" t="s">
        <v>1801</v>
      </c>
      <c r="E141" s="11" t="s">
        <v>2153</v>
      </c>
      <c r="F141" s="11" t="s">
        <v>2160</v>
      </c>
      <c r="G141" s="11" t="s">
        <v>1005</v>
      </c>
      <c r="H141" s="11" t="s">
        <v>2489</v>
      </c>
      <c r="I141" s="11" t="s">
        <v>13</v>
      </c>
      <c r="J141" s="11" t="s">
        <v>2431</v>
      </c>
      <c r="K141" s="11" t="s">
        <v>14</v>
      </c>
    </row>
    <row r="142" spans="1:11" x14ac:dyDescent="0.3">
      <c r="A142" s="12">
        <v>138</v>
      </c>
      <c r="B142" s="12" t="s">
        <v>2161</v>
      </c>
      <c r="C142" s="12" t="s">
        <v>2162</v>
      </c>
      <c r="D142" s="12" t="s">
        <v>1801</v>
      </c>
      <c r="E142" s="12" t="s">
        <v>2153</v>
      </c>
      <c r="F142" s="12" t="s">
        <v>2163</v>
      </c>
      <c r="G142" s="12" t="s">
        <v>2490</v>
      </c>
      <c r="H142" s="12" t="s">
        <v>2489</v>
      </c>
      <c r="I142" s="12" t="s">
        <v>13</v>
      </c>
      <c r="J142" s="12" t="s">
        <v>926</v>
      </c>
      <c r="K142" s="12" t="s">
        <v>14</v>
      </c>
    </row>
    <row r="143" spans="1:11" x14ac:dyDescent="0.3">
      <c r="A143" s="12">
        <v>139</v>
      </c>
      <c r="B143" s="12" t="s">
        <v>2164</v>
      </c>
      <c r="C143" s="12" t="s">
        <v>2165</v>
      </c>
      <c r="D143" s="12" t="s">
        <v>1801</v>
      </c>
      <c r="E143" s="12" t="s">
        <v>2166</v>
      </c>
      <c r="F143" s="12" t="s">
        <v>2167</v>
      </c>
      <c r="G143" s="12" t="s">
        <v>1005</v>
      </c>
      <c r="H143" s="12" t="s">
        <v>2491</v>
      </c>
      <c r="I143" s="12" t="s">
        <v>13</v>
      </c>
      <c r="J143" s="12" t="s">
        <v>926</v>
      </c>
      <c r="K143" s="12" t="s">
        <v>20</v>
      </c>
    </row>
    <row r="144" spans="1:11" x14ac:dyDescent="0.3">
      <c r="A144" s="3">
        <v>140</v>
      </c>
      <c r="B144" s="3" t="s">
        <v>2168</v>
      </c>
      <c r="C144" s="3" t="s">
        <v>2169</v>
      </c>
      <c r="D144" s="3" t="s">
        <v>1801</v>
      </c>
      <c r="E144" s="3" t="s">
        <v>2170</v>
      </c>
      <c r="F144" s="3" t="s">
        <v>51</v>
      </c>
      <c r="G144" s="3" t="s">
        <v>1432</v>
      </c>
      <c r="H144" s="3" t="s">
        <v>2453</v>
      </c>
      <c r="I144" s="3" t="s">
        <v>13</v>
      </c>
      <c r="J144" s="3" t="s">
        <v>2430</v>
      </c>
      <c r="K144" s="3" t="s">
        <v>36</v>
      </c>
    </row>
    <row r="145" spans="1:11" x14ac:dyDescent="0.3">
      <c r="A145" s="11">
        <v>141</v>
      </c>
      <c r="B145" s="11" t="s">
        <v>2086</v>
      </c>
      <c r="C145" s="11" t="s">
        <v>1712</v>
      </c>
      <c r="D145" s="11" t="s">
        <v>1801</v>
      </c>
      <c r="E145" s="11" t="s">
        <v>2170</v>
      </c>
      <c r="F145" s="11" t="s">
        <v>2171</v>
      </c>
      <c r="G145" s="11" t="s">
        <v>2492</v>
      </c>
      <c r="H145" s="11" t="s">
        <v>2453</v>
      </c>
      <c r="I145" s="11" t="s">
        <v>13</v>
      </c>
      <c r="J145" s="11" t="s">
        <v>2431</v>
      </c>
      <c r="K145" s="11" t="s">
        <v>118</v>
      </c>
    </row>
    <row r="146" spans="1:11" x14ac:dyDescent="0.3">
      <c r="A146" s="12">
        <v>142</v>
      </c>
      <c r="B146" s="12" t="s">
        <v>2172</v>
      </c>
      <c r="C146" s="12" t="s">
        <v>2173</v>
      </c>
      <c r="D146" s="12" t="s">
        <v>1801</v>
      </c>
      <c r="E146" s="12" t="s">
        <v>2174</v>
      </c>
      <c r="F146" s="12" t="s">
        <v>2175</v>
      </c>
      <c r="G146" s="12" t="s">
        <v>965</v>
      </c>
      <c r="H146" s="12" t="s">
        <v>2452</v>
      </c>
      <c r="I146" s="12" t="s">
        <v>13</v>
      </c>
      <c r="J146" s="12" t="s">
        <v>926</v>
      </c>
      <c r="K146" s="12" t="s">
        <v>14</v>
      </c>
    </row>
    <row r="147" spans="1:11" x14ac:dyDescent="0.3">
      <c r="A147" s="11">
        <v>143</v>
      </c>
      <c r="B147" s="11" t="s">
        <v>931</v>
      </c>
      <c r="C147" s="11" t="s">
        <v>9</v>
      </c>
      <c r="D147" s="11" t="s">
        <v>1801</v>
      </c>
      <c r="E147" s="11" t="s">
        <v>2176</v>
      </c>
      <c r="F147" s="11" t="s">
        <v>2177</v>
      </c>
      <c r="G147" s="11" t="s">
        <v>993</v>
      </c>
      <c r="H147" s="11" t="s">
        <v>2493</v>
      </c>
      <c r="I147" s="11" t="s">
        <v>13</v>
      </c>
      <c r="J147" s="11" t="s">
        <v>2431</v>
      </c>
      <c r="K147" s="11" t="s">
        <v>14</v>
      </c>
    </row>
    <row r="148" spans="1:11" x14ac:dyDescent="0.3">
      <c r="A148" s="12">
        <v>144</v>
      </c>
      <c r="B148" s="12" t="s">
        <v>2178</v>
      </c>
      <c r="C148" s="12" t="s">
        <v>2179</v>
      </c>
      <c r="D148" s="12" t="s">
        <v>1801</v>
      </c>
      <c r="E148" s="12" t="s">
        <v>2176</v>
      </c>
      <c r="F148" s="12" t="s">
        <v>2180</v>
      </c>
      <c r="G148" s="12" t="s">
        <v>980</v>
      </c>
      <c r="H148" s="12" t="s">
        <v>2493</v>
      </c>
      <c r="I148" s="12" t="s">
        <v>13</v>
      </c>
      <c r="J148" s="12" t="s">
        <v>926</v>
      </c>
      <c r="K148" s="12" t="s">
        <v>14</v>
      </c>
    </row>
    <row r="149" spans="1:11" x14ac:dyDescent="0.3">
      <c r="A149" s="3">
        <v>145</v>
      </c>
      <c r="B149" s="3" t="s">
        <v>1107</v>
      </c>
      <c r="C149" s="3" t="s">
        <v>2181</v>
      </c>
      <c r="D149" s="3" t="s">
        <v>1801</v>
      </c>
      <c r="E149" s="3" t="s">
        <v>2176</v>
      </c>
      <c r="F149" s="3" t="s">
        <v>466</v>
      </c>
      <c r="G149" s="3" t="s">
        <v>1005</v>
      </c>
      <c r="H149" s="3" t="s">
        <v>2493</v>
      </c>
      <c r="I149" s="3" t="s">
        <v>13</v>
      </c>
      <c r="J149" s="3" t="s">
        <v>2430</v>
      </c>
      <c r="K149" s="3" t="s">
        <v>14</v>
      </c>
    </row>
    <row r="150" spans="1:11" x14ac:dyDescent="0.3">
      <c r="A150" s="11">
        <v>146</v>
      </c>
      <c r="B150" s="11" t="s">
        <v>1626</v>
      </c>
      <c r="C150" s="11" t="s">
        <v>892</v>
      </c>
      <c r="D150" s="11" t="s">
        <v>1801</v>
      </c>
      <c r="E150" s="11" t="s">
        <v>2176</v>
      </c>
      <c r="F150" s="11" t="s">
        <v>2182</v>
      </c>
      <c r="G150" s="11" t="s">
        <v>950</v>
      </c>
      <c r="H150" s="11" t="s">
        <v>2493</v>
      </c>
      <c r="I150" s="11" t="s">
        <v>13</v>
      </c>
      <c r="J150" s="11" t="s">
        <v>2431</v>
      </c>
      <c r="K150" s="11" t="s">
        <v>14</v>
      </c>
    </row>
    <row r="151" spans="1:11" x14ac:dyDescent="0.3">
      <c r="A151" s="12">
        <v>147</v>
      </c>
      <c r="B151" s="12" t="s">
        <v>2183</v>
      </c>
      <c r="C151" s="12" t="s">
        <v>2184</v>
      </c>
      <c r="D151" s="12" t="s">
        <v>1801</v>
      </c>
      <c r="E151" s="12" t="s">
        <v>2176</v>
      </c>
      <c r="F151" s="12" t="s">
        <v>2185</v>
      </c>
      <c r="G151" s="12" t="s">
        <v>953</v>
      </c>
      <c r="H151" s="12" t="s">
        <v>2493</v>
      </c>
      <c r="I151" s="12" t="s">
        <v>13</v>
      </c>
      <c r="J151" s="12" t="s">
        <v>926</v>
      </c>
      <c r="K151" s="12" t="s">
        <v>224</v>
      </c>
    </row>
    <row r="152" spans="1:11" x14ac:dyDescent="0.3">
      <c r="A152" s="12">
        <v>148</v>
      </c>
      <c r="B152" s="12" t="s">
        <v>2183</v>
      </c>
      <c r="C152" s="12" t="s">
        <v>2186</v>
      </c>
      <c r="D152" s="12" t="s">
        <v>1801</v>
      </c>
      <c r="E152" s="12" t="s">
        <v>2176</v>
      </c>
      <c r="F152" s="12" t="s">
        <v>2187</v>
      </c>
      <c r="G152" s="12" t="s">
        <v>957</v>
      </c>
      <c r="H152" s="12" t="s">
        <v>2493</v>
      </c>
      <c r="I152" s="12" t="s">
        <v>13</v>
      </c>
      <c r="J152" s="12" t="s">
        <v>926</v>
      </c>
      <c r="K152" s="12" t="s">
        <v>14</v>
      </c>
    </row>
    <row r="153" spans="1:11" x14ac:dyDescent="0.3">
      <c r="A153" s="12">
        <v>149</v>
      </c>
      <c r="B153" s="12" t="s">
        <v>2188</v>
      </c>
      <c r="C153" s="12" t="s">
        <v>2189</v>
      </c>
      <c r="D153" s="12" t="s">
        <v>1801</v>
      </c>
      <c r="E153" s="12" t="s">
        <v>2176</v>
      </c>
      <c r="F153" s="12" t="s">
        <v>2177</v>
      </c>
      <c r="G153" s="12" t="s">
        <v>2494</v>
      </c>
      <c r="H153" s="12" t="s">
        <v>2493</v>
      </c>
      <c r="I153" s="12" t="s">
        <v>13</v>
      </c>
      <c r="J153" s="12" t="s">
        <v>926</v>
      </c>
      <c r="K153" s="12" t="s">
        <v>20</v>
      </c>
    </row>
    <row r="154" spans="1:11" x14ac:dyDescent="0.3">
      <c r="A154" s="3">
        <v>150</v>
      </c>
      <c r="B154" s="3" t="s">
        <v>2190</v>
      </c>
      <c r="C154" s="3" t="s">
        <v>2191</v>
      </c>
      <c r="D154" s="3" t="s">
        <v>1801</v>
      </c>
      <c r="E154" s="3" t="s">
        <v>2176</v>
      </c>
      <c r="F154" s="3" t="s">
        <v>466</v>
      </c>
      <c r="G154" s="3" t="s">
        <v>2495</v>
      </c>
      <c r="H154" s="3" t="s">
        <v>2493</v>
      </c>
      <c r="I154" s="3" t="s">
        <v>13</v>
      </c>
      <c r="J154" s="3" t="s">
        <v>2430</v>
      </c>
      <c r="K154" s="3" t="s">
        <v>14</v>
      </c>
    </row>
    <row r="155" spans="1:11" x14ac:dyDescent="0.3">
      <c r="A155" s="3">
        <v>151</v>
      </c>
      <c r="B155" s="3" t="s">
        <v>2190</v>
      </c>
      <c r="C155" s="3" t="s">
        <v>2192</v>
      </c>
      <c r="D155" s="3" t="s">
        <v>1801</v>
      </c>
      <c r="E155" s="3" t="s">
        <v>2176</v>
      </c>
      <c r="F155" s="3" t="s">
        <v>2193</v>
      </c>
      <c r="G155" s="3" t="s">
        <v>2496</v>
      </c>
      <c r="H155" s="3" t="s">
        <v>2493</v>
      </c>
      <c r="I155" s="3" t="s">
        <v>13</v>
      </c>
      <c r="J155" s="3" t="s">
        <v>2430</v>
      </c>
      <c r="K155" s="3" t="s">
        <v>342</v>
      </c>
    </row>
    <row r="156" spans="1:11" x14ac:dyDescent="0.3">
      <c r="A156" s="3">
        <v>152</v>
      </c>
      <c r="B156" s="3" t="s">
        <v>2194</v>
      </c>
      <c r="C156" s="3" t="s">
        <v>2195</v>
      </c>
      <c r="D156" s="3" t="s">
        <v>1801</v>
      </c>
      <c r="E156" s="3" t="s">
        <v>2176</v>
      </c>
      <c r="F156" s="3" t="s">
        <v>2196</v>
      </c>
      <c r="G156" s="3" t="s">
        <v>1330</v>
      </c>
      <c r="H156" s="3" t="s">
        <v>2493</v>
      </c>
      <c r="I156" s="3" t="s">
        <v>13</v>
      </c>
      <c r="J156" s="3" t="s">
        <v>2430</v>
      </c>
      <c r="K156" s="3" t="s">
        <v>125</v>
      </c>
    </row>
    <row r="157" spans="1:11" x14ac:dyDescent="0.3">
      <c r="A157" s="11">
        <v>153</v>
      </c>
      <c r="B157" s="11" t="s">
        <v>2197</v>
      </c>
      <c r="C157" s="11" t="s">
        <v>54</v>
      </c>
      <c r="D157" s="11" t="s">
        <v>1801</v>
      </c>
      <c r="E157" s="11" t="s">
        <v>2176</v>
      </c>
      <c r="F157" s="11" t="s">
        <v>2198</v>
      </c>
      <c r="G157" s="11" t="s">
        <v>950</v>
      </c>
      <c r="H157" s="11" t="s">
        <v>2493</v>
      </c>
      <c r="I157" s="11" t="s">
        <v>13</v>
      </c>
      <c r="J157" s="11" t="s">
        <v>2431</v>
      </c>
      <c r="K157" s="11" t="s">
        <v>115</v>
      </c>
    </row>
    <row r="158" spans="1:11" x14ac:dyDescent="0.3">
      <c r="A158" s="12">
        <v>154</v>
      </c>
      <c r="B158" s="12" t="s">
        <v>1630</v>
      </c>
      <c r="C158" s="12" t="s">
        <v>2199</v>
      </c>
      <c r="D158" s="12" t="s">
        <v>1801</v>
      </c>
      <c r="E158" s="12" t="s">
        <v>2176</v>
      </c>
      <c r="F158" s="12" t="s">
        <v>2200</v>
      </c>
      <c r="G158" s="12" t="s">
        <v>984</v>
      </c>
      <c r="H158" s="12" t="s">
        <v>2493</v>
      </c>
      <c r="I158" s="12" t="s">
        <v>13</v>
      </c>
      <c r="J158" s="12" t="s">
        <v>926</v>
      </c>
      <c r="K158" s="12" t="s">
        <v>411</v>
      </c>
    </row>
    <row r="159" spans="1:11" x14ac:dyDescent="0.3">
      <c r="A159" s="12">
        <v>155</v>
      </c>
      <c r="B159" s="12" t="s">
        <v>2201</v>
      </c>
      <c r="C159" s="12" t="s">
        <v>2202</v>
      </c>
      <c r="D159" s="12" t="s">
        <v>1801</v>
      </c>
      <c r="E159" s="12" t="s">
        <v>2176</v>
      </c>
      <c r="F159" s="12" t="s">
        <v>2203</v>
      </c>
      <c r="G159" s="12" t="s">
        <v>971</v>
      </c>
      <c r="H159" s="12" t="s">
        <v>2493</v>
      </c>
      <c r="I159" s="12" t="s">
        <v>13</v>
      </c>
      <c r="J159" s="12" t="s">
        <v>926</v>
      </c>
      <c r="K159" s="12" t="s">
        <v>254</v>
      </c>
    </row>
    <row r="160" spans="1:11" x14ac:dyDescent="0.3">
      <c r="A160" s="11">
        <v>156</v>
      </c>
      <c r="B160" s="11" t="s">
        <v>1000</v>
      </c>
      <c r="C160" s="11" t="s">
        <v>2204</v>
      </c>
      <c r="D160" s="11" t="s">
        <v>1801</v>
      </c>
      <c r="E160" s="11" t="s">
        <v>2176</v>
      </c>
      <c r="F160" s="11" t="s">
        <v>2205</v>
      </c>
      <c r="G160" s="11" t="s">
        <v>1425</v>
      </c>
      <c r="H160" s="11" t="s">
        <v>2493</v>
      </c>
      <c r="I160" s="11" t="s">
        <v>13</v>
      </c>
      <c r="J160" s="11" t="s">
        <v>2431</v>
      </c>
      <c r="K160" s="11" t="s">
        <v>195</v>
      </c>
    </row>
    <row r="161" spans="1:11" x14ac:dyDescent="0.3">
      <c r="A161" s="11">
        <v>157</v>
      </c>
      <c r="B161" s="11" t="s">
        <v>1000</v>
      </c>
      <c r="C161" s="11" t="s">
        <v>2206</v>
      </c>
      <c r="D161" s="11" t="s">
        <v>1801</v>
      </c>
      <c r="E161" s="11" t="s">
        <v>2176</v>
      </c>
      <c r="F161" s="11" t="s">
        <v>831</v>
      </c>
      <c r="G161" s="11" t="s">
        <v>1005</v>
      </c>
      <c r="H161" s="11" t="s">
        <v>2493</v>
      </c>
      <c r="I161" s="11" t="s">
        <v>13</v>
      </c>
      <c r="J161" s="11" t="s">
        <v>2431</v>
      </c>
      <c r="K161" s="11" t="s">
        <v>195</v>
      </c>
    </row>
    <row r="162" spans="1:11" x14ac:dyDescent="0.3">
      <c r="A162" s="11">
        <v>158</v>
      </c>
      <c r="B162" s="11" t="s">
        <v>1644</v>
      </c>
      <c r="C162" s="11" t="s">
        <v>2207</v>
      </c>
      <c r="D162" s="11" t="s">
        <v>1801</v>
      </c>
      <c r="E162" s="11" t="s">
        <v>2208</v>
      </c>
      <c r="F162" s="11" t="s">
        <v>2209</v>
      </c>
      <c r="G162" s="11" t="s">
        <v>1056</v>
      </c>
      <c r="H162" s="11" t="s">
        <v>2452</v>
      </c>
      <c r="I162" s="11" t="s">
        <v>13</v>
      </c>
      <c r="J162" s="11" t="s">
        <v>2431</v>
      </c>
      <c r="K162" s="11" t="s">
        <v>14</v>
      </c>
    </row>
    <row r="163" spans="1:11" x14ac:dyDescent="0.3">
      <c r="A163" s="3">
        <v>159</v>
      </c>
      <c r="B163" s="3" t="s">
        <v>2210</v>
      </c>
      <c r="C163" s="3" t="s">
        <v>2211</v>
      </c>
      <c r="D163" s="3" t="s">
        <v>1801</v>
      </c>
      <c r="E163" s="3" t="s">
        <v>2212</v>
      </c>
      <c r="F163" s="3" t="s">
        <v>2213</v>
      </c>
      <c r="G163" s="3" t="s">
        <v>1528</v>
      </c>
      <c r="H163" s="3" t="s">
        <v>2497</v>
      </c>
      <c r="I163" s="3" t="s">
        <v>13</v>
      </c>
      <c r="J163" s="3" t="s">
        <v>2430</v>
      </c>
      <c r="K163" s="3" t="s">
        <v>36</v>
      </c>
    </row>
    <row r="164" spans="1:11" x14ac:dyDescent="0.3">
      <c r="A164" s="11">
        <v>160</v>
      </c>
      <c r="B164" s="11" t="s">
        <v>2214</v>
      </c>
      <c r="C164" s="11" t="s">
        <v>2214</v>
      </c>
      <c r="D164" s="11" t="s">
        <v>1801</v>
      </c>
      <c r="E164" s="11" t="s">
        <v>2212</v>
      </c>
      <c r="F164" s="11" t="s">
        <v>2215</v>
      </c>
      <c r="G164" s="11" t="s">
        <v>1625</v>
      </c>
      <c r="H164" s="11" t="s">
        <v>2497</v>
      </c>
      <c r="I164" s="11" t="s">
        <v>13</v>
      </c>
      <c r="J164" s="11" t="s">
        <v>2431</v>
      </c>
      <c r="K164" s="11" t="s">
        <v>14</v>
      </c>
    </row>
    <row r="165" spans="1:11" x14ac:dyDescent="0.3">
      <c r="A165" s="12">
        <v>161</v>
      </c>
      <c r="B165" s="12" t="s">
        <v>2216</v>
      </c>
      <c r="C165" s="12" t="s">
        <v>2217</v>
      </c>
      <c r="D165" s="12" t="s">
        <v>1801</v>
      </c>
      <c r="E165" s="12" t="s">
        <v>2218</v>
      </c>
      <c r="F165" s="12" t="s">
        <v>847</v>
      </c>
      <c r="G165" s="12" t="s">
        <v>2498</v>
      </c>
      <c r="H165" s="12" t="s">
        <v>2499</v>
      </c>
      <c r="I165" s="12" t="s">
        <v>13</v>
      </c>
      <c r="J165" s="12" t="s">
        <v>926</v>
      </c>
      <c r="K165" s="12" t="s">
        <v>98</v>
      </c>
    </row>
    <row r="166" spans="1:11" x14ac:dyDescent="0.3">
      <c r="A166" s="12">
        <v>162</v>
      </c>
      <c r="B166" s="12" t="s">
        <v>2219</v>
      </c>
      <c r="C166" s="12" t="s">
        <v>2220</v>
      </c>
      <c r="D166" s="12" t="s">
        <v>1801</v>
      </c>
      <c r="E166" s="12" t="s">
        <v>2218</v>
      </c>
      <c r="F166" s="12" t="s">
        <v>2221</v>
      </c>
      <c r="G166" s="12" t="s">
        <v>2500</v>
      </c>
      <c r="H166" s="12" t="s">
        <v>2499</v>
      </c>
      <c r="I166" s="12" t="s">
        <v>13</v>
      </c>
      <c r="J166" s="12" t="s">
        <v>926</v>
      </c>
      <c r="K166" s="12" t="s">
        <v>14</v>
      </c>
    </row>
    <row r="167" spans="1:11" x14ac:dyDescent="0.3">
      <c r="A167" s="3">
        <v>163</v>
      </c>
      <c r="B167" s="3" t="s">
        <v>1149</v>
      </c>
      <c r="C167" s="3" t="s">
        <v>315</v>
      </c>
      <c r="D167" s="3" t="s">
        <v>1801</v>
      </c>
      <c r="E167" s="3" t="s">
        <v>2218</v>
      </c>
      <c r="F167" s="3" t="s">
        <v>2222</v>
      </c>
      <c r="G167" s="3" t="s">
        <v>2501</v>
      </c>
      <c r="H167" s="3" t="s">
        <v>2499</v>
      </c>
      <c r="I167" s="3" t="s">
        <v>13</v>
      </c>
      <c r="J167" s="3" t="s">
        <v>2430</v>
      </c>
      <c r="K167" s="3" t="s">
        <v>43</v>
      </c>
    </row>
    <row r="168" spans="1:11" x14ac:dyDescent="0.3">
      <c r="A168" s="12">
        <v>164</v>
      </c>
      <c r="B168" s="12" t="s">
        <v>2223</v>
      </c>
      <c r="C168" s="12" t="s">
        <v>2224</v>
      </c>
      <c r="D168" s="12" t="s">
        <v>1801</v>
      </c>
      <c r="E168" s="12" t="s">
        <v>2218</v>
      </c>
      <c r="F168" s="12" t="s">
        <v>2225</v>
      </c>
      <c r="G168" s="12" t="s">
        <v>1332</v>
      </c>
      <c r="H168" s="12" t="s">
        <v>2499</v>
      </c>
      <c r="I168" s="12" t="s">
        <v>13</v>
      </c>
      <c r="J168" s="12" t="s">
        <v>926</v>
      </c>
      <c r="K168" s="12" t="s">
        <v>20</v>
      </c>
    </row>
    <row r="169" spans="1:11" x14ac:dyDescent="0.3">
      <c r="A169" s="3">
        <v>165</v>
      </c>
      <c r="B169" s="3" t="s">
        <v>2226</v>
      </c>
      <c r="C169" s="3" t="s">
        <v>2227</v>
      </c>
      <c r="D169" s="3" t="s">
        <v>1801</v>
      </c>
      <c r="E169" s="3" t="s">
        <v>2218</v>
      </c>
      <c r="F169" s="3" t="s">
        <v>2228</v>
      </c>
      <c r="G169" s="3" t="s">
        <v>2502</v>
      </c>
      <c r="H169" s="3" t="s">
        <v>2499</v>
      </c>
      <c r="I169" s="3" t="s">
        <v>13</v>
      </c>
      <c r="J169" s="3" t="s">
        <v>2430</v>
      </c>
      <c r="K169" s="3" t="s">
        <v>43</v>
      </c>
    </row>
    <row r="170" spans="1:11" x14ac:dyDescent="0.3">
      <c r="A170" s="12">
        <v>166</v>
      </c>
      <c r="B170" s="12" t="s">
        <v>2229</v>
      </c>
      <c r="C170" s="12" t="s">
        <v>2230</v>
      </c>
      <c r="D170" s="12" t="s">
        <v>1801</v>
      </c>
      <c r="E170" s="12" t="s">
        <v>2218</v>
      </c>
      <c r="F170" s="12" t="s">
        <v>1849</v>
      </c>
      <c r="G170" s="12" t="s">
        <v>1777</v>
      </c>
      <c r="H170" s="12" t="s">
        <v>2499</v>
      </c>
      <c r="I170" s="12" t="s">
        <v>13</v>
      </c>
      <c r="J170" s="12" t="s">
        <v>926</v>
      </c>
      <c r="K170" s="12" t="s">
        <v>14</v>
      </c>
    </row>
    <row r="171" spans="1:11" x14ac:dyDescent="0.3">
      <c r="A171" s="3">
        <v>167</v>
      </c>
      <c r="B171" s="3" t="s">
        <v>2231</v>
      </c>
      <c r="C171" s="3" t="s">
        <v>2232</v>
      </c>
      <c r="D171" s="3" t="s">
        <v>1801</v>
      </c>
      <c r="E171" s="3" t="s">
        <v>2218</v>
      </c>
      <c r="F171" s="3" t="s">
        <v>2233</v>
      </c>
      <c r="G171" s="3" t="s">
        <v>1085</v>
      </c>
      <c r="H171" s="3" t="s">
        <v>2499</v>
      </c>
      <c r="I171" s="3" t="s">
        <v>13</v>
      </c>
      <c r="J171" s="3" t="s">
        <v>2430</v>
      </c>
      <c r="K171" s="3" t="s">
        <v>58</v>
      </c>
    </row>
    <row r="172" spans="1:11" x14ac:dyDescent="0.3">
      <c r="A172" s="3">
        <v>168</v>
      </c>
      <c r="B172" s="3" t="s">
        <v>2234</v>
      </c>
      <c r="C172" s="3" t="s">
        <v>2235</v>
      </c>
      <c r="D172" s="3" t="s">
        <v>1801</v>
      </c>
      <c r="E172" s="3" t="s">
        <v>2218</v>
      </c>
      <c r="F172" s="3" t="s">
        <v>2236</v>
      </c>
      <c r="G172" s="3" t="s">
        <v>965</v>
      </c>
      <c r="H172" s="3" t="s">
        <v>2499</v>
      </c>
      <c r="I172" s="3" t="s">
        <v>13</v>
      </c>
      <c r="J172" s="3" t="s">
        <v>2430</v>
      </c>
      <c r="K172" s="3" t="s">
        <v>58</v>
      </c>
    </row>
    <row r="173" spans="1:11" x14ac:dyDescent="0.3">
      <c r="A173" s="11">
        <v>169</v>
      </c>
      <c r="B173" s="11" t="s">
        <v>2197</v>
      </c>
      <c r="C173" s="11" t="s">
        <v>54</v>
      </c>
      <c r="D173" s="11" t="s">
        <v>1801</v>
      </c>
      <c r="E173" s="11" t="s">
        <v>2218</v>
      </c>
      <c r="F173" s="11" t="s">
        <v>2237</v>
      </c>
      <c r="G173" s="11" t="s">
        <v>1130</v>
      </c>
      <c r="H173" s="11" t="s">
        <v>2499</v>
      </c>
      <c r="I173" s="11" t="s">
        <v>13</v>
      </c>
      <c r="J173" s="11" t="s">
        <v>2431</v>
      </c>
      <c r="K173" s="11" t="s">
        <v>118</v>
      </c>
    </row>
    <row r="174" spans="1:11" x14ac:dyDescent="0.3">
      <c r="A174" s="3">
        <v>170</v>
      </c>
      <c r="B174" s="3" t="s">
        <v>2238</v>
      </c>
      <c r="C174" s="3" t="s">
        <v>2239</v>
      </c>
      <c r="D174" s="3" t="s">
        <v>1801</v>
      </c>
      <c r="E174" s="3" t="s">
        <v>2218</v>
      </c>
      <c r="F174" s="3" t="s">
        <v>2240</v>
      </c>
      <c r="G174" s="3" t="s">
        <v>982</v>
      </c>
      <c r="H174" s="3" t="s">
        <v>2499</v>
      </c>
      <c r="I174" s="3" t="s">
        <v>13</v>
      </c>
      <c r="J174" s="3" t="s">
        <v>2430</v>
      </c>
      <c r="K174" s="3" t="s">
        <v>14</v>
      </c>
    </row>
    <row r="175" spans="1:11" x14ac:dyDescent="0.3">
      <c r="A175" s="3">
        <v>171</v>
      </c>
      <c r="B175" s="3" t="s">
        <v>2241</v>
      </c>
      <c r="C175" s="3" t="s">
        <v>2242</v>
      </c>
      <c r="D175" s="3" t="s">
        <v>1801</v>
      </c>
      <c r="E175" s="3" t="s">
        <v>2218</v>
      </c>
      <c r="F175" s="3" t="s">
        <v>2243</v>
      </c>
      <c r="G175" s="3" t="s">
        <v>1366</v>
      </c>
      <c r="H175" s="3" t="s">
        <v>2499</v>
      </c>
      <c r="I175" s="3" t="s">
        <v>13</v>
      </c>
      <c r="J175" s="3" t="s">
        <v>2430</v>
      </c>
      <c r="K175" s="3" t="s">
        <v>36</v>
      </c>
    </row>
    <row r="176" spans="1:11" x14ac:dyDescent="0.3">
      <c r="A176" s="11">
        <v>172</v>
      </c>
      <c r="B176" s="11" t="s">
        <v>2244</v>
      </c>
      <c r="C176" s="11" t="s">
        <v>2245</v>
      </c>
      <c r="D176" s="11" t="s">
        <v>1801</v>
      </c>
      <c r="E176" s="11" t="s">
        <v>2218</v>
      </c>
      <c r="F176" s="11" t="s">
        <v>2221</v>
      </c>
      <c r="G176" s="11" t="s">
        <v>2500</v>
      </c>
      <c r="H176" s="11" t="s">
        <v>2499</v>
      </c>
      <c r="I176" s="11" t="s">
        <v>13</v>
      </c>
      <c r="J176" s="11" t="s">
        <v>2431</v>
      </c>
      <c r="K176" s="11" t="s">
        <v>14</v>
      </c>
    </row>
    <row r="177" spans="1:11" x14ac:dyDescent="0.3">
      <c r="A177" s="11">
        <v>173</v>
      </c>
      <c r="B177" s="11" t="s">
        <v>1836</v>
      </c>
      <c r="C177" s="11" t="s">
        <v>119</v>
      </c>
      <c r="D177" s="11" t="s">
        <v>1801</v>
      </c>
      <c r="E177" s="11" t="s">
        <v>2218</v>
      </c>
      <c r="F177" s="11" t="s">
        <v>2246</v>
      </c>
      <c r="G177" s="11" t="s">
        <v>1156</v>
      </c>
      <c r="H177" s="11" t="s">
        <v>2499</v>
      </c>
      <c r="I177" s="11" t="s">
        <v>13</v>
      </c>
      <c r="J177" s="11" t="s">
        <v>2431</v>
      </c>
      <c r="K177" s="11" t="s">
        <v>14</v>
      </c>
    </row>
    <row r="178" spans="1:11" x14ac:dyDescent="0.3">
      <c r="A178" s="3">
        <v>174</v>
      </c>
      <c r="B178" s="3" t="s">
        <v>2247</v>
      </c>
      <c r="C178" s="3" t="s">
        <v>2248</v>
      </c>
      <c r="D178" s="3" t="s">
        <v>1801</v>
      </c>
      <c r="E178" s="3" t="s">
        <v>2218</v>
      </c>
      <c r="F178" s="3" t="s">
        <v>1666</v>
      </c>
      <c r="G178" s="3" t="s">
        <v>2503</v>
      </c>
      <c r="H178" s="3" t="s">
        <v>2499</v>
      </c>
      <c r="I178" s="3" t="s">
        <v>13</v>
      </c>
      <c r="J178" s="3" t="s">
        <v>2430</v>
      </c>
      <c r="K178" s="3" t="s">
        <v>27</v>
      </c>
    </row>
    <row r="179" spans="1:11" x14ac:dyDescent="0.3">
      <c r="A179" s="13">
        <v>175</v>
      </c>
      <c r="B179" s="13" t="s">
        <v>2249</v>
      </c>
      <c r="C179" s="13" t="s">
        <v>598</v>
      </c>
      <c r="D179" s="13" t="s">
        <v>1801</v>
      </c>
      <c r="E179" s="13" t="s">
        <v>2218</v>
      </c>
      <c r="F179" s="13" t="s">
        <v>2221</v>
      </c>
      <c r="G179" s="13" t="s">
        <v>965</v>
      </c>
      <c r="H179" s="13" t="s">
        <v>2499</v>
      </c>
      <c r="I179" s="13" t="s">
        <v>13</v>
      </c>
      <c r="J179" s="13" t="s">
        <v>928</v>
      </c>
      <c r="K179" s="13" t="s">
        <v>20</v>
      </c>
    </row>
    <row r="180" spans="1:11" x14ac:dyDescent="0.3">
      <c r="A180" s="12">
        <v>176</v>
      </c>
      <c r="B180" s="12" t="s">
        <v>2250</v>
      </c>
      <c r="C180" s="12" t="s">
        <v>2251</v>
      </c>
      <c r="D180" s="12" t="s">
        <v>1801</v>
      </c>
      <c r="E180" s="12" t="s">
        <v>2218</v>
      </c>
      <c r="F180" s="12" t="s">
        <v>2252</v>
      </c>
      <c r="G180" s="12" t="s">
        <v>2504</v>
      </c>
      <c r="H180" s="12" t="s">
        <v>2499</v>
      </c>
      <c r="I180" s="12" t="s">
        <v>13</v>
      </c>
      <c r="J180" s="12" t="s">
        <v>926</v>
      </c>
      <c r="K180" s="12" t="s">
        <v>20</v>
      </c>
    </row>
    <row r="181" spans="1:11" x14ac:dyDescent="0.3">
      <c r="A181" s="3">
        <v>177</v>
      </c>
      <c r="B181" s="3" t="s">
        <v>2253</v>
      </c>
      <c r="C181" s="3" t="s">
        <v>2254</v>
      </c>
      <c r="D181" s="3" t="s">
        <v>1801</v>
      </c>
      <c r="E181" s="3" t="s">
        <v>2255</v>
      </c>
      <c r="F181" s="3" t="s">
        <v>2256</v>
      </c>
      <c r="G181" s="3" t="s">
        <v>1115</v>
      </c>
      <c r="H181" s="3" t="s">
        <v>2452</v>
      </c>
      <c r="I181" s="3" t="s">
        <v>13</v>
      </c>
      <c r="J181" s="3" t="s">
        <v>2430</v>
      </c>
      <c r="K181" s="3" t="s">
        <v>43</v>
      </c>
    </row>
    <row r="182" spans="1:11" x14ac:dyDescent="0.3">
      <c r="A182" s="3">
        <v>178</v>
      </c>
      <c r="B182" s="3" t="s">
        <v>2257</v>
      </c>
      <c r="C182" s="3" t="s">
        <v>2258</v>
      </c>
      <c r="D182" s="3" t="s">
        <v>1801</v>
      </c>
      <c r="E182" s="3" t="s">
        <v>2259</v>
      </c>
      <c r="F182" s="3" t="s">
        <v>2260</v>
      </c>
      <c r="G182" s="3" t="s">
        <v>1332</v>
      </c>
      <c r="H182" s="3" t="s">
        <v>2505</v>
      </c>
      <c r="I182" s="3" t="s">
        <v>13</v>
      </c>
      <c r="J182" s="3" t="s">
        <v>2430</v>
      </c>
      <c r="K182" s="3" t="s">
        <v>58</v>
      </c>
    </row>
    <row r="183" spans="1:11" x14ac:dyDescent="0.3">
      <c r="A183" s="11">
        <v>179</v>
      </c>
      <c r="B183" s="11" t="s">
        <v>1000</v>
      </c>
      <c r="C183" s="11" t="s">
        <v>2261</v>
      </c>
      <c r="D183" s="11" t="s">
        <v>1801</v>
      </c>
      <c r="E183" s="11" t="s">
        <v>2259</v>
      </c>
      <c r="F183" s="11" t="s">
        <v>2262</v>
      </c>
      <c r="G183" s="11" t="s">
        <v>1249</v>
      </c>
      <c r="H183" s="11" t="s">
        <v>2505</v>
      </c>
      <c r="I183" s="11" t="s">
        <v>13</v>
      </c>
      <c r="J183" s="11" t="s">
        <v>2431</v>
      </c>
      <c r="K183" s="11" t="s">
        <v>14</v>
      </c>
    </row>
    <row r="184" spans="1:11" x14ac:dyDescent="0.3">
      <c r="A184" s="3">
        <v>180</v>
      </c>
      <c r="B184" s="3" t="s">
        <v>1107</v>
      </c>
      <c r="C184" s="3" t="s">
        <v>255</v>
      </c>
      <c r="D184" s="3" t="s">
        <v>1801</v>
      </c>
      <c r="E184" s="3" t="s">
        <v>2263</v>
      </c>
      <c r="F184" s="3" t="s">
        <v>2264</v>
      </c>
      <c r="G184" s="3" t="s">
        <v>1005</v>
      </c>
      <c r="H184" s="3" t="s">
        <v>2452</v>
      </c>
      <c r="I184" s="3" t="s">
        <v>13</v>
      </c>
      <c r="J184" s="3" t="s">
        <v>2430</v>
      </c>
      <c r="K184" s="3" t="s">
        <v>14</v>
      </c>
    </row>
    <row r="185" spans="1:11" x14ac:dyDescent="0.3">
      <c r="A185" s="13">
        <v>181</v>
      </c>
      <c r="B185" s="13" t="s">
        <v>1356</v>
      </c>
      <c r="C185" s="13" t="s">
        <v>551</v>
      </c>
      <c r="D185" s="13" t="s">
        <v>1801</v>
      </c>
      <c r="E185" s="13" t="s">
        <v>2263</v>
      </c>
      <c r="F185" s="13" t="s">
        <v>2265</v>
      </c>
      <c r="G185" s="13" t="s">
        <v>1130</v>
      </c>
      <c r="H185" s="13" t="s">
        <v>2452</v>
      </c>
      <c r="I185" s="13" t="s">
        <v>13</v>
      </c>
      <c r="J185" s="13" t="s">
        <v>928</v>
      </c>
      <c r="K185" s="13" t="s">
        <v>14</v>
      </c>
    </row>
    <row r="186" spans="1:11" x14ac:dyDescent="0.3">
      <c r="A186" s="3">
        <v>182</v>
      </c>
      <c r="B186" s="3" t="s">
        <v>2266</v>
      </c>
      <c r="C186" s="3" t="s">
        <v>2267</v>
      </c>
      <c r="D186" s="3" t="s">
        <v>1801</v>
      </c>
      <c r="E186" s="3" t="s">
        <v>2263</v>
      </c>
      <c r="F186" s="3" t="s">
        <v>2265</v>
      </c>
      <c r="G186" s="3" t="s">
        <v>1130</v>
      </c>
      <c r="H186" s="3" t="s">
        <v>2452</v>
      </c>
      <c r="I186" s="3" t="s">
        <v>13</v>
      </c>
      <c r="J186" s="3" t="s">
        <v>2430</v>
      </c>
      <c r="K186" s="3" t="s">
        <v>14</v>
      </c>
    </row>
    <row r="187" spans="1:11" x14ac:dyDescent="0.3">
      <c r="A187" s="11">
        <v>183</v>
      </c>
      <c r="B187" s="11" t="s">
        <v>1584</v>
      </c>
      <c r="C187" s="11" t="s">
        <v>815</v>
      </c>
      <c r="D187" s="11" t="s">
        <v>1801</v>
      </c>
      <c r="E187" s="11" t="s">
        <v>2263</v>
      </c>
      <c r="F187" s="11" t="s">
        <v>2268</v>
      </c>
      <c r="G187" s="11" t="s">
        <v>1139</v>
      </c>
      <c r="H187" s="11" t="s">
        <v>2452</v>
      </c>
      <c r="I187" s="11" t="s">
        <v>13</v>
      </c>
      <c r="J187" s="11" t="s">
        <v>2431</v>
      </c>
      <c r="K187" s="11" t="s">
        <v>14</v>
      </c>
    </row>
    <row r="188" spans="1:11" x14ac:dyDescent="0.3">
      <c r="A188" s="11">
        <v>184</v>
      </c>
      <c r="B188" s="11" t="s">
        <v>1584</v>
      </c>
      <c r="C188" s="11" t="s">
        <v>815</v>
      </c>
      <c r="D188" s="11" t="s">
        <v>1801</v>
      </c>
      <c r="E188" s="11" t="s">
        <v>2263</v>
      </c>
      <c r="F188" s="11" t="s">
        <v>2265</v>
      </c>
      <c r="G188" s="11" t="s">
        <v>1005</v>
      </c>
      <c r="H188" s="11" t="s">
        <v>2452</v>
      </c>
      <c r="I188" s="11" t="s">
        <v>13</v>
      </c>
      <c r="J188" s="11" t="s">
        <v>2431</v>
      </c>
      <c r="K188" s="11" t="s">
        <v>14</v>
      </c>
    </row>
    <row r="189" spans="1:11" x14ac:dyDescent="0.3">
      <c r="A189" s="11">
        <v>185</v>
      </c>
      <c r="B189" s="11" t="s">
        <v>1626</v>
      </c>
      <c r="C189" s="11" t="s">
        <v>1712</v>
      </c>
      <c r="D189" s="11" t="s">
        <v>1801</v>
      </c>
      <c r="E189" s="11" t="s">
        <v>2269</v>
      </c>
      <c r="F189" s="11" t="s">
        <v>820</v>
      </c>
      <c r="G189" s="11" t="s">
        <v>982</v>
      </c>
      <c r="H189" s="11" t="s">
        <v>2506</v>
      </c>
      <c r="I189" s="11" t="s">
        <v>13</v>
      </c>
      <c r="J189" s="11" t="s">
        <v>2431</v>
      </c>
      <c r="K189" s="11" t="s">
        <v>195</v>
      </c>
    </row>
    <row r="190" spans="1:11" x14ac:dyDescent="0.3">
      <c r="A190" s="3">
        <v>186</v>
      </c>
      <c r="B190" s="3" t="s">
        <v>2270</v>
      </c>
      <c r="C190" s="3" t="s">
        <v>2271</v>
      </c>
      <c r="D190" s="3" t="s">
        <v>1801</v>
      </c>
      <c r="E190" s="3" t="s">
        <v>2269</v>
      </c>
      <c r="F190" s="3" t="s">
        <v>2272</v>
      </c>
      <c r="G190" s="3" t="s">
        <v>957</v>
      </c>
      <c r="H190" s="3" t="s">
        <v>2506</v>
      </c>
      <c r="I190" s="3" t="s">
        <v>13</v>
      </c>
      <c r="J190" s="3" t="s">
        <v>2430</v>
      </c>
      <c r="K190" s="3" t="s">
        <v>20</v>
      </c>
    </row>
    <row r="191" spans="1:11" x14ac:dyDescent="0.3">
      <c r="A191" s="11">
        <v>187</v>
      </c>
      <c r="B191" s="11" t="s">
        <v>2273</v>
      </c>
      <c r="C191" s="11" t="s">
        <v>2274</v>
      </c>
      <c r="D191" s="11" t="s">
        <v>1801</v>
      </c>
      <c r="E191" s="11" t="s">
        <v>2269</v>
      </c>
      <c r="F191" s="11" t="s">
        <v>2275</v>
      </c>
      <c r="G191" s="11" t="s">
        <v>965</v>
      </c>
      <c r="H191" s="11" t="s">
        <v>2506</v>
      </c>
      <c r="I191" s="11" t="s">
        <v>13</v>
      </c>
      <c r="J191" s="11" t="s">
        <v>2431</v>
      </c>
      <c r="K191" s="11" t="s">
        <v>14</v>
      </c>
    </row>
    <row r="192" spans="1:11" x14ac:dyDescent="0.3">
      <c r="A192" s="11">
        <v>188</v>
      </c>
      <c r="B192" s="11" t="s">
        <v>1836</v>
      </c>
      <c r="C192" s="11" t="s">
        <v>119</v>
      </c>
      <c r="D192" s="11" t="s">
        <v>1801</v>
      </c>
      <c r="E192" s="11" t="s">
        <v>2269</v>
      </c>
      <c r="F192" s="11" t="s">
        <v>2276</v>
      </c>
      <c r="G192" s="11" t="s">
        <v>946</v>
      </c>
      <c r="H192" s="11" t="s">
        <v>2506</v>
      </c>
      <c r="I192" s="11" t="s">
        <v>13</v>
      </c>
      <c r="J192" s="11" t="s">
        <v>2431</v>
      </c>
      <c r="K192" s="11" t="s">
        <v>14</v>
      </c>
    </row>
    <row r="193" spans="1:11" x14ac:dyDescent="0.3">
      <c r="A193" s="11">
        <v>189</v>
      </c>
      <c r="B193" s="11" t="s">
        <v>1000</v>
      </c>
      <c r="C193" s="11" t="s">
        <v>2277</v>
      </c>
      <c r="D193" s="11" t="s">
        <v>1801</v>
      </c>
      <c r="E193" s="11" t="s">
        <v>2269</v>
      </c>
      <c r="F193" s="11" t="s">
        <v>2278</v>
      </c>
      <c r="G193" s="11" t="s">
        <v>955</v>
      </c>
      <c r="H193" s="11" t="s">
        <v>2506</v>
      </c>
      <c r="I193" s="11" t="s">
        <v>13</v>
      </c>
      <c r="J193" s="11" t="s">
        <v>2431</v>
      </c>
      <c r="K193" s="11" t="s">
        <v>1701</v>
      </c>
    </row>
    <row r="194" spans="1:11" x14ac:dyDescent="0.3">
      <c r="A194" s="3">
        <v>190</v>
      </c>
      <c r="B194" s="3" t="s">
        <v>2279</v>
      </c>
      <c r="C194" s="3" t="s">
        <v>2280</v>
      </c>
      <c r="D194" s="3" t="s">
        <v>1801</v>
      </c>
      <c r="E194" s="3" t="s">
        <v>2281</v>
      </c>
      <c r="F194" s="3" t="s">
        <v>2282</v>
      </c>
      <c r="G194" s="3" t="s">
        <v>955</v>
      </c>
      <c r="H194" s="3" t="s">
        <v>2486</v>
      </c>
      <c r="I194" s="3" t="s">
        <v>13</v>
      </c>
      <c r="J194" s="3" t="s">
        <v>2430</v>
      </c>
      <c r="K194" s="3" t="s">
        <v>58</v>
      </c>
    </row>
    <row r="195" spans="1:11" x14ac:dyDescent="0.3">
      <c r="A195" s="3">
        <v>191</v>
      </c>
      <c r="B195" s="3" t="s">
        <v>1186</v>
      </c>
      <c r="C195" s="3" t="s">
        <v>353</v>
      </c>
      <c r="D195" s="3" t="s">
        <v>1801</v>
      </c>
      <c r="E195" s="3" t="s">
        <v>2283</v>
      </c>
      <c r="F195" s="3" t="s">
        <v>2284</v>
      </c>
      <c r="G195" s="3" t="s">
        <v>2507</v>
      </c>
      <c r="H195" s="3" t="s">
        <v>2508</v>
      </c>
      <c r="I195" s="3" t="s">
        <v>13</v>
      </c>
      <c r="J195" s="3" t="s">
        <v>2430</v>
      </c>
      <c r="K195" s="3" t="s">
        <v>43</v>
      </c>
    </row>
    <row r="196" spans="1:11" x14ac:dyDescent="0.3">
      <c r="A196" s="11">
        <v>192</v>
      </c>
      <c r="B196" s="11" t="s">
        <v>931</v>
      </c>
      <c r="C196" s="11" t="s">
        <v>54</v>
      </c>
      <c r="D196" s="11" t="s">
        <v>1801</v>
      </c>
      <c r="E196" s="11" t="s">
        <v>2283</v>
      </c>
      <c r="F196" s="11" t="s">
        <v>2285</v>
      </c>
      <c r="G196" s="11" t="s">
        <v>955</v>
      </c>
      <c r="H196" s="11" t="s">
        <v>2508</v>
      </c>
      <c r="I196" s="11" t="s">
        <v>13</v>
      </c>
      <c r="J196" s="11" t="s">
        <v>2431</v>
      </c>
      <c r="K196" s="11" t="s">
        <v>14</v>
      </c>
    </row>
    <row r="197" spans="1:11" x14ac:dyDescent="0.3">
      <c r="A197" s="11">
        <v>193</v>
      </c>
      <c r="B197" s="11" t="s">
        <v>931</v>
      </c>
      <c r="C197" s="11" t="s">
        <v>9</v>
      </c>
      <c r="D197" s="11" t="s">
        <v>1801</v>
      </c>
      <c r="E197" s="11" t="s">
        <v>2283</v>
      </c>
      <c r="F197" s="11" t="s">
        <v>2286</v>
      </c>
      <c r="G197" s="11" t="s">
        <v>1214</v>
      </c>
      <c r="H197" s="11" t="s">
        <v>2508</v>
      </c>
      <c r="I197" s="11" t="s">
        <v>13</v>
      </c>
      <c r="J197" s="11" t="s">
        <v>2431</v>
      </c>
      <c r="K197" s="11" t="s">
        <v>14</v>
      </c>
    </row>
    <row r="198" spans="1:11" x14ac:dyDescent="0.3">
      <c r="A198" s="11">
        <v>194</v>
      </c>
      <c r="B198" s="11" t="s">
        <v>931</v>
      </c>
      <c r="C198" s="11" t="s">
        <v>9</v>
      </c>
      <c r="D198" s="11" t="s">
        <v>1801</v>
      </c>
      <c r="E198" s="11" t="s">
        <v>2283</v>
      </c>
      <c r="F198" s="11" t="s">
        <v>2287</v>
      </c>
      <c r="G198" s="11" t="s">
        <v>957</v>
      </c>
      <c r="H198" s="11" t="s">
        <v>2508</v>
      </c>
      <c r="I198" s="11" t="s">
        <v>13</v>
      </c>
      <c r="J198" s="11" t="s">
        <v>2431</v>
      </c>
      <c r="K198" s="11" t="s">
        <v>14</v>
      </c>
    </row>
    <row r="199" spans="1:11" x14ac:dyDescent="0.3">
      <c r="A199" s="12">
        <v>195</v>
      </c>
      <c r="B199" s="12" t="s">
        <v>2288</v>
      </c>
      <c r="C199" s="12" t="s">
        <v>2289</v>
      </c>
      <c r="D199" s="12" t="s">
        <v>1801</v>
      </c>
      <c r="E199" s="12" t="s">
        <v>2283</v>
      </c>
      <c r="F199" s="12" t="s">
        <v>2290</v>
      </c>
      <c r="G199" s="12" t="s">
        <v>1205</v>
      </c>
      <c r="H199" s="12" t="s">
        <v>2508</v>
      </c>
      <c r="I199" s="12" t="s">
        <v>13</v>
      </c>
      <c r="J199" s="12" t="s">
        <v>926</v>
      </c>
      <c r="K199" s="12" t="s">
        <v>20</v>
      </c>
    </row>
    <row r="200" spans="1:11" x14ac:dyDescent="0.3">
      <c r="A200" s="12">
        <v>196</v>
      </c>
      <c r="B200" s="12" t="s">
        <v>2291</v>
      </c>
      <c r="C200" s="12" t="s">
        <v>2292</v>
      </c>
      <c r="D200" s="12" t="s">
        <v>1801</v>
      </c>
      <c r="E200" s="12" t="s">
        <v>2283</v>
      </c>
      <c r="F200" s="12" t="s">
        <v>2293</v>
      </c>
      <c r="G200" s="12" t="s">
        <v>2509</v>
      </c>
      <c r="H200" s="12" t="s">
        <v>2508</v>
      </c>
      <c r="I200" s="12" t="s">
        <v>13</v>
      </c>
      <c r="J200" s="12" t="s">
        <v>926</v>
      </c>
      <c r="K200" s="12" t="s">
        <v>165</v>
      </c>
    </row>
    <row r="201" spans="1:11" x14ac:dyDescent="0.3">
      <c r="A201" s="12">
        <v>197</v>
      </c>
      <c r="B201" s="12" t="s">
        <v>2294</v>
      </c>
      <c r="C201" s="12" t="s">
        <v>2295</v>
      </c>
      <c r="D201" s="12" t="s">
        <v>1801</v>
      </c>
      <c r="E201" s="12" t="s">
        <v>2283</v>
      </c>
      <c r="F201" s="12" t="s">
        <v>2296</v>
      </c>
      <c r="G201" s="12" t="s">
        <v>1348</v>
      </c>
      <c r="H201" s="12" t="s">
        <v>2508</v>
      </c>
      <c r="I201" s="12" t="s">
        <v>13</v>
      </c>
      <c r="J201" s="12" t="s">
        <v>926</v>
      </c>
      <c r="K201" s="12" t="s">
        <v>20</v>
      </c>
    </row>
    <row r="202" spans="1:11" x14ac:dyDescent="0.3">
      <c r="A202" s="3">
        <v>198</v>
      </c>
      <c r="B202" s="3" t="s">
        <v>2297</v>
      </c>
      <c r="C202" s="3" t="s">
        <v>2298</v>
      </c>
      <c r="D202" s="3" t="s">
        <v>1801</v>
      </c>
      <c r="E202" s="3" t="s">
        <v>2283</v>
      </c>
      <c r="F202" s="3" t="s">
        <v>2299</v>
      </c>
      <c r="G202" s="3" t="s">
        <v>982</v>
      </c>
      <c r="H202" s="3" t="s">
        <v>2508</v>
      </c>
      <c r="I202" s="3" t="s">
        <v>13</v>
      </c>
      <c r="J202" s="3" t="s">
        <v>2430</v>
      </c>
      <c r="K202" s="3" t="s">
        <v>224</v>
      </c>
    </row>
    <row r="203" spans="1:11" x14ac:dyDescent="0.3">
      <c r="A203" s="3">
        <v>199</v>
      </c>
      <c r="B203" s="3" t="s">
        <v>2300</v>
      </c>
      <c r="C203" s="3" t="s">
        <v>2301</v>
      </c>
      <c r="D203" s="3" t="s">
        <v>1801</v>
      </c>
      <c r="E203" s="3" t="s">
        <v>2283</v>
      </c>
      <c r="F203" s="3" t="s">
        <v>2302</v>
      </c>
      <c r="G203" s="3" t="s">
        <v>1058</v>
      </c>
      <c r="H203" s="3" t="s">
        <v>2508</v>
      </c>
      <c r="I203" s="3" t="s">
        <v>13</v>
      </c>
      <c r="J203" s="3" t="s">
        <v>2430</v>
      </c>
      <c r="K203" s="3" t="s">
        <v>20</v>
      </c>
    </row>
    <row r="204" spans="1:11" x14ac:dyDescent="0.3">
      <c r="A204" s="12">
        <v>200</v>
      </c>
      <c r="B204" s="12" t="s">
        <v>1149</v>
      </c>
      <c r="C204" s="12" t="s">
        <v>315</v>
      </c>
      <c r="D204" s="12" t="s">
        <v>1801</v>
      </c>
      <c r="E204" s="12" t="s">
        <v>2283</v>
      </c>
      <c r="F204" s="12" t="s">
        <v>2303</v>
      </c>
      <c r="G204" s="12" t="s">
        <v>2510</v>
      </c>
      <c r="H204" s="12" t="s">
        <v>2508</v>
      </c>
      <c r="I204" s="12" t="s">
        <v>13</v>
      </c>
      <c r="J204" s="12" t="s">
        <v>926</v>
      </c>
      <c r="K204" s="12" t="s">
        <v>66</v>
      </c>
    </row>
    <row r="205" spans="1:11" x14ac:dyDescent="0.3">
      <c r="A205" s="12">
        <v>201</v>
      </c>
      <c r="B205" s="12" t="s">
        <v>1149</v>
      </c>
      <c r="C205" s="12" t="s">
        <v>315</v>
      </c>
      <c r="D205" s="12" t="s">
        <v>1801</v>
      </c>
      <c r="E205" s="12" t="s">
        <v>2283</v>
      </c>
      <c r="F205" s="12" t="s">
        <v>2286</v>
      </c>
      <c r="G205" s="12" t="s">
        <v>1541</v>
      </c>
      <c r="H205" s="12" t="s">
        <v>2508</v>
      </c>
      <c r="I205" s="12" t="s">
        <v>13</v>
      </c>
      <c r="J205" s="12" t="s">
        <v>926</v>
      </c>
      <c r="K205" s="12" t="s">
        <v>14</v>
      </c>
    </row>
    <row r="206" spans="1:11" x14ac:dyDescent="0.3">
      <c r="A206" s="12">
        <v>202</v>
      </c>
      <c r="B206" s="12" t="s">
        <v>2304</v>
      </c>
      <c r="C206" s="12" t="s">
        <v>2305</v>
      </c>
      <c r="D206" s="12" t="s">
        <v>1801</v>
      </c>
      <c r="E206" s="12" t="s">
        <v>2283</v>
      </c>
      <c r="F206" s="12" t="s">
        <v>2306</v>
      </c>
      <c r="G206" s="12" t="s">
        <v>1005</v>
      </c>
      <c r="H206" s="12" t="s">
        <v>2508</v>
      </c>
      <c r="I206" s="12" t="s">
        <v>13</v>
      </c>
      <c r="J206" s="12" t="s">
        <v>926</v>
      </c>
      <c r="K206" s="12" t="s">
        <v>20</v>
      </c>
    </row>
    <row r="207" spans="1:11" x14ac:dyDescent="0.3">
      <c r="A207" s="12">
        <v>203</v>
      </c>
      <c r="B207" s="12" t="s">
        <v>1742</v>
      </c>
      <c r="C207" s="12" t="s">
        <v>2307</v>
      </c>
      <c r="D207" s="12" t="s">
        <v>1801</v>
      </c>
      <c r="E207" s="12" t="s">
        <v>2283</v>
      </c>
      <c r="F207" s="12" t="s">
        <v>2308</v>
      </c>
      <c r="G207" s="12" t="s">
        <v>1479</v>
      </c>
      <c r="H207" s="12" t="s">
        <v>2508</v>
      </c>
      <c r="I207" s="12" t="s">
        <v>13</v>
      </c>
      <c r="J207" s="12" t="s">
        <v>926</v>
      </c>
      <c r="K207" s="12" t="s">
        <v>2309</v>
      </c>
    </row>
    <row r="208" spans="1:11" x14ac:dyDescent="0.3">
      <c r="A208" s="12">
        <v>204</v>
      </c>
      <c r="B208" s="12" t="s">
        <v>1742</v>
      </c>
      <c r="C208" s="12" t="s">
        <v>2310</v>
      </c>
      <c r="D208" s="12" t="s">
        <v>1801</v>
      </c>
      <c r="E208" s="12" t="s">
        <v>2283</v>
      </c>
      <c r="F208" s="12" t="s">
        <v>2311</v>
      </c>
      <c r="G208" s="12" t="s">
        <v>2511</v>
      </c>
      <c r="H208" s="12" t="s">
        <v>2508</v>
      </c>
      <c r="I208" s="12" t="s">
        <v>13</v>
      </c>
      <c r="J208" s="12" t="s">
        <v>926</v>
      </c>
      <c r="K208" s="12" t="s">
        <v>165</v>
      </c>
    </row>
    <row r="209" spans="1:11" x14ac:dyDescent="0.3">
      <c r="A209" s="12">
        <v>205</v>
      </c>
      <c r="B209" s="12" t="s">
        <v>2312</v>
      </c>
      <c r="C209" s="12" t="s">
        <v>2313</v>
      </c>
      <c r="D209" s="12" t="s">
        <v>1801</v>
      </c>
      <c r="E209" s="12" t="s">
        <v>2283</v>
      </c>
      <c r="F209" s="12" t="s">
        <v>2314</v>
      </c>
      <c r="G209" s="12" t="s">
        <v>1033</v>
      </c>
      <c r="H209" s="12" t="s">
        <v>2508</v>
      </c>
      <c r="I209" s="12" t="s">
        <v>13</v>
      </c>
      <c r="J209" s="12" t="s">
        <v>926</v>
      </c>
      <c r="K209" s="12" t="s">
        <v>43</v>
      </c>
    </row>
    <row r="210" spans="1:11" x14ac:dyDescent="0.3">
      <c r="A210" s="3">
        <v>206</v>
      </c>
      <c r="B210" s="3" t="s">
        <v>1107</v>
      </c>
      <c r="C210" s="3" t="s">
        <v>2315</v>
      </c>
      <c r="D210" s="3" t="s">
        <v>1801</v>
      </c>
      <c r="E210" s="3" t="s">
        <v>2283</v>
      </c>
      <c r="F210" s="3" t="s">
        <v>2316</v>
      </c>
      <c r="G210" s="3" t="s">
        <v>1205</v>
      </c>
      <c r="H210" s="3" t="s">
        <v>2508</v>
      </c>
      <c r="I210" s="3" t="s">
        <v>13</v>
      </c>
      <c r="J210" s="3" t="s">
        <v>2430</v>
      </c>
      <c r="K210" s="3" t="s">
        <v>14</v>
      </c>
    </row>
    <row r="211" spans="1:11" x14ac:dyDescent="0.3">
      <c r="A211" s="11">
        <v>207</v>
      </c>
      <c r="B211" s="11" t="s">
        <v>1626</v>
      </c>
      <c r="C211" s="11" t="s">
        <v>2317</v>
      </c>
      <c r="D211" s="11" t="s">
        <v>1801</v>
      </c>
      <c r="E211" s="11" t="s">
        <v>2283</v>
      </c>
      <c r="F211" s="11" t="s">
        <v>2318</v>
      </c>
      <c r="G211" s="11" t="s">
        <v>1136</v>
      </c>
      <c r="H211" s="11" t="s">
        <v>2508</v>
      </c>
      <c r="I211" s="11" t="s">
        <v>13</v>
      </c>
      <c r="J211" s="11" t="s">
        <v>2431</v>
      </c>
      <c r="K211" s="11" t="s">
        <v>14</v>
      </c>
    </row>
    <row r="212" spans="1:11" x14ac:dyDescent="0.3">
      <c r="A212" s="12">
        <v>208</v>
      </c>
      <c r="B212" s="12" t="s">
        <v>2319</v>
      </c>
      <c r="C212" s="12" t="s">
        <v>2320</v>
      </c>
      <c r="D212" s="12" t="s">
        <v>1801</v>
      </c>
      <c r="E212" s="12" t="s">
        <v>2283</v>
      </c>
      <c r="F212" s="12" t="s">
        <v>2321</v>
      </c>
      <c r="G212" s="12" t="s">
        <v>1040</v>
      </c>
      <c r="H212" s="12" t="s">
        <v>2508</v>
      </c>
      <c r="I212" s="12" t="s">
        <v>13</v>
      </c>
      <c r="J212" s="12" t="s">
        <v>926</v>
      </c>
      <c r="K212" s="12" t="s">
        <v>20</v>
      </c>
    </row>
    <row r="213" spans="1:11" x14ac:dyDescent="0.3">
      <c r="A213" s="11">
        <v>209</v>
      </c>
      <c r="B213" s="11" t="s">
        <v>2322</v>
      </c>
      <c r="C213" s="11" t="s">
        <v>2323</v>
      </c>
      <c r="D213" s="11" t="s">
        <v>1801</v>
      </c>
      <c r="E213" s="11" t="s">
        <v>2283</v>
      </c>
      <c r="F213" s="11" t="s">
        <v>2324</v>
      </c>
      <c r="G213" s="11" t="s">
        <v>1139</v>
      </c>
      <c r="H213" s="11" t="s">
        <v>2508</v>
      </c>
      <c r="I213" s="11" t="s">
        <v>13</v>
      </c>
      <c r="J213" s="11" t="s">
        <v>2431</v>
      </c>
      <c r="K213" s="11" t="s">
        <v>20</v>
      </c>
    </row>
    <row r="214" spans="1:11" x14ac:dyDescent="0.3">
      <c r="A214" s="3">
        <v>210</v>
      </c>
      <c r="B214" s="3" t="s">
        <v>2325</v>
      </c>
      <c r="C214" s="3" t="s">
        <v>2326</v>
      </c>
      <c r="D214" s="3" t="s">
        <v>1801</v>
      </c>
      <c r="E214" s="3" t="s">
        <v>2283</v>
      </c>
      <c r="F214" s="3" t="s">
        <v>2327</v>
      </c>
      <c r="G214" s="3" t="s">
        <v>2512</v>
      </c>
      <c r="H214" s="3" t="s">
        <v>2508</v>
      </c>
      <c r="I214" s="3" t="s">
        <v>13</v>
      </c>
      <c r="J214" s="3" t="s">
        <v>2430</v>
      </c>
      <c r="K214" s="3" t="s">
        <v>36</v>
      </c>
    </row>
    <row r="215" spans="1:11" x14ac:dyDescent="0.3">
      <c r="A215" s="12">
        <v>211</v>
      </c>
      <c r="B215" s="12" t="s">
        <v>2328</v>
      </c>
      <c r="C215" s="12" t="s">
        <v>2329</v>
      </c>
      <c r="D215" s="12" t="s">
        <v>1801</v>
      </c>
      <c r="E215" s="12" t="s">
        <v>2283</v>
      </c>
      <c r="F215" s="12" t="s">
        <v>2330</v>
      </c>
      <c r="G215" s="12" t="s">
        <v>1516</v>
      </c>
      <c r="H215" s="12" t="s">
        <v>2508</v>
      </c>
      <c r="I215" s="12" t="s">
        <v>13</v>
      </c>
      <c r="J215" s="12" t="s">
        <v>926</v>
      </c>
      <c r="K215" s="12" t="s">
        <v>14</v>
      </c>
    </row>
    <row r="216" spans="1:11" x14ac:dyDescent="0.3">
      <c r="A216" s="3">
        <v>212</v>
      </c>
      <c r="B216" s="3" t="s">
        <v>2331</v>
      </c>
      <c r="C216" s="3" t="s">
        <v>2332</v>
      </c>
      <c r="D216" s="3" t="s">
        <v>1801</v>
      </c>
      <c r="E216" s="3" t="s">
        <v>2283</v>
      </c>
      <c r="F216" s="3" t="s">
        <v>2333</v>
      </c>
      <c r="G216" s="3" t="s">
        <v>984</v>
      </c>
      <c r="H216" s="3" t="s">
        <v>2508</v>
      </c>
      <c r="I216" s="3" t="s">
        <v>13</v>
      </c>
      <c r="J216" s="3" t="s">
        <v>2430</v>
      </c>
      <c r="K216" s="3" t="s">
        <v>14</v>
      </c>
    </row>
    <row r="217" spans="1:11" x14ac:dyDescent="0.3">
      <c r="A217" s="3">
        <v>213</v>
      </c>
      <c r="B217" s="3" t="s">
        <v>2334</v>
      </c>
      <c r="C217" s="3" t="s">
        <v>2335</v>
      </c>
      <c r="D217" s="3" t="s">
        <v>1801</v>
      </c>
      <c r="E217" s="3" t="s">
        <v>2283</v>
      </c>
      <c r="F217" s="3" t="s">
        <v>2286</v>
      </c>
      <c r="G217" s="3" t="s">
        <v>942</v>
      </c>
      <c r="H217" s="3" t="s">
        <v>2508</v>
      </c>
      <c r="I217" s="3" t="s">
        <v>13</v>
      </c>
      <c r="J217" s="3" t="s">
        <v>2430</v>
      </c>
      <c r="K217" s="3" t="s">
        <v>20</v>
      </c>
    </row>
    <row r="218" spans="1:11" x14ac:dyDescent="0.3">
      <c r="A218" s="12">
        <v>214</v>
      </c>
      <c r="B218" s="12" t="s">
        <v>2336</v>
      </c>
      <c r="C218" s="12" t="s">
        <v>2337</v>
      </c>
      <c r="D218" s="12" t="s">
        <v>1801</v>
      </c>
      <c r="E218" s="12" t="s">
        <v>2283</v>
      </c>
      <c r="F218" s="12" t="s">
        <v>2338</v>
      </c>
      <c r="G218" s="12" t="s">
        <v>935</v>
      </c>
      <c r="H218" s="12" t="s">
        <v>2508</v>
      </c>
      <c r="I218" s="12" t="s">
        <v>13</v>
      </c>
      <c r="J218" s="12" t="s">
        <v>926</v>
      </c>
      <c r="K218" s="12" t="s">
        <v>43</v>
      </c>
    </row>
    <row r="219" spans="1:11" x14ac:dyDescent="0.3">
      <c r="A219" s="3">
        <v>215</v>
      </c>
      <c r="B219" s="3" t="s">
        <v>2339</v>
      </c>
      <c r="C219" s="3" t="s">
        <v>2340</v>
      </c>
      <c r="D219" s="3" t="s">
        <v>1801</v>
      </c>
      <c r="E219" s="3" t="s">
        <v>2283</v>
      </c>
      <c r="F219" s="3" t="s">
        <v>2341</v>
      </c>
      <c r="G219" s="3" t="s">
        <v>935</v>
      </c>
      <c r="H219" s="3" t="s">
        <v>2508</v>
      </c>
      <c r="I219" s="3" t="s">
        <v>13</v>
      </c>
      <c r="J219" s="3" t="s">
        <v>2430</v>
      </c>
      <c r="K219" s="3" t="s">
        <v>14</v>
      </c>
    </row>
    <row r="220" spans="1:11" x14ac:dyDescent="0.3">
      <c r="A220" s="12">
        <v>216</v>
      </c>
      <c r="B220" s="12" t="s">
        <v>2342</v>
      </c>
      <c r="C220" s="12" t="s">
        <v>2343</v>
      </c>
      <c r="D220" s="12" t="s">
        <v>1801</v>
      </c>
      <c r="E220" s="12" t="s">
        <v>2283</v>
      </c>
      <c r="F220" s="12" t="s">
        <v>2293</v>
      </c>
      <c r="G220" s="12" t="s">
        <v>942</v>
      </c>
      <c r="H220" s="12" t="s">
        <v>2508</v>
      </c>
      <c r="I220" s="12" t="s">
        <v>13</v>
      </c>
      <c r="J220" s="12" t="s">
        <v>926</v>
      </c>
      <c r="K220" s="12" t="s">
        <v>62</v>
      </c>
    </row>
    <row r="221" spans="1:11" x14ac:dyDescent="0.3">
      <c r="A221" s="3">
        <v>217</v>
      </c>
      <c r="B221" s="3" t="s">
        <v>2344</v>
      </c>
      <c r="C221" s="3" t="s">
        <v>2345</v>
      </c>
      <c r="D221" s="3" t="s">
        <v>1801</v>
      </c>
      <c r="E221" s="3" t="s">
        <v>2283</v>
      </c>
      <c r="F221" s="3" t="s">
        <v>2346</v>
      </c>
      <c r="G221" s="3" t="s">
        <v>2513</v>
      </c>
      <c r="H221" s="3" t="s">
        <v>2508</v>
      </c>
      <c r="I221" s="3" t="s">
        <v>13</v>
      </c>
      <c r="J221" s="3" t="s">
        <v>2430</v>
      </c>
      <c r="K221" s="3" t="s">
        <v>254</v>
      </c>
    </row>
    <row r="222" spans="1:11" x14ac:dyDescent="0.3">
      <c r="A222" s="11">
        <v>218</v>
      </c>
      <c r="B222" s="11" t="s">
        <v>2347</v>
      </c>
      <c r="C222" s="11" t="s">
        <v>2348</v>
      </c>
      <c r="D222" s="11" t="s">
        <v>1801</v>
      </c>
      <c r="E222" s="11" t="s">
        <v>2283</v>
      </c>
      <c r="F222" s="11" t="s">
        <v>2349</v>
      </c>
      <c r="G222" s="11" t="s">
        <v>2514</v>
      </c>
      <c r="H222" s="11" t="s">
        <v>2508</v>
      </c>
      <c r="I222" s="11" t="s">
        <v>13</v>
      </c>
      <c r="J222" s="11" t="s">
        <v>2431</v>
      </c>
      <c r="K222" s="11" t="s">
        <v>20</v>
      </c>
    </row>
    <row r="223" spans="1:11" x14ac:dyDescent="0.3">
      <c r="A223" s="3">
        <v>219</v>
      </c>
      <c r="B223" s="3" t="s">
        <v>2350</v>
      </c>
      <c r="C223" s="3" t="s">
        <v>2351</v>
      </c>
      <c r="D223" s="3" t="s">
        <v>1801</v>
      </c>
      <c r="E223" s="3" t="s">
        <v>2283</v>
      </c>
      <c r="F223" s="3" t="s">
        <v>2352</v>
      </c>
      <c r="G223" s="3" t="s">
        <v>965</v>
      </c>
      <c r="H223" s="3" t="s">
        <v>2508</v>
      </c>
      <c r="I223" s="3" t="s">
        <v>13</v>
      </c>
      <c r="J223" s="3" t="s">
        <v>2430</v>
      </c>
      <c r="K223" s="3" t="s">
        <v>265</v>
      </c>
    </row>
    <row r="224" spans="1:11" x14ac:dyDescent="0.3">
      <c r="A224" s="13">
        <v>220</v>
      </c>
      <c r="B224" s="13" t="s">
        <v>1138</v>
      </c>
      <c r="C224" s="13" t="s">
        <v>296</v>
      </c>
      <c r="D224" s="13" t="s">
        <v>1801</v>
      </c>
      <c r="E224" s="13" t="s">
        <v>2283</v>
      </c>
      <c r="F224" s="13" t="s">
        <v>2353</v>
      </c>
      <c r="G224" s="13" t="s">
        <v>935</v>
      </c>
      <c r="H224" s="13" t="s">
        <v>2508</v>
      </c>
      <c r="I224" s="13" t="s">
        <v>13</v>
      </c>
      <c r="J224" s="13" t="s">
        <v>928</v>
      </c>
      <c r="K224" s="13" t="s">
        <v>14</v>
      </c>
    </row>
    <row r="225" spans="1:11" x14ac:dyDescent="0.3">
      <c r="A225" s="12">
        <v>221</v>
      </c>
      <c r="B225" s="12" t="s">
        <v>2354</v>
      </c>
      <c r="C225" s="12" t="s">
        <v>2355</v>
      </c>
      <c r="D225" s="12" t="s">
        <v>1801</v>
      </c>
      <c r="E225" s="12" t="s">
        <v>2283</v>
      </c>
      <c r="F225" s="12" t="s">
        <v>2293</v>
      </c>
      <c r="G225" s="12" t="s">
        <v>938</v>
      </c>
      <c r="H225" s="12" t="s">
        <v>2508</v>
      </c>
      <c r="I225" s="12" t="s">
        <v>13</v>
      </c>
      <c r="J225" s="12" t="s">
        <v>926</v>
      </c>
      <c r="K225" s="12" t="s">
        <v>43</v>
      </c>
    </row>
    <row r="226" spans="1:11" x14ac:dyDescent="0.3">
      <c r="A226" s="3">
        <v>222</v>
      </c>
      <c r="B226" s="3" t="s">
        <v>2356</v>
      </c>
      <c r="C226" s="3" t="s">
        <v>2357</v>
      </c>
      <c r="D226" s="3" t="s">
        <v>1801</v>
      </c>
      <c r="E226" s="3" t="s">
        <v>2283</v>
      </c>
      <c r="F226" s="3" t="s">
        <v>590</v>
      </c>
      <c r="G226" s="3" t="s">
        <v>2515</v>
      </c>
      <c r="H226" s="3" t="s">
        <v>2508</v>
      </c>
      <c r="I226" s="3" t="s">
        <v>13</v>
      </c>
      <c r="J226" s="3" t="s">
        <v>2430</v>
      </c>
      <c r="K226" s="3" t="s">
        <v>20</v>
      </c>
    </row>
    <row r="227" spans="1:11" x14ac:dyDescent="0.3">
      <c r="A227" s="3">
        <v>223</v>
      </c>
      <c r="B227" s="3" t="s">
        <v>2358</v>
      </c>
      <c r="C227" s="3" t="s">
        <v>2359</v>
      </c>
      <c r="D227" s="3" t="s">
        <v>1801</v>
      </c>
      <c r="E227" s="3" t="s">
        <v>2283</v>
      </c>
      <c r="F227" s="3" t="s">
        <v>2360</v>
      </c>
      <c r="G227" s="3" t="s">
        <v>1156</v>
      </c>
      <c r="H227" s="3" t="s">
        <v>2508</v>
      </c>
      <c r="I227" s="3" t="s">
        <v>13</v>
      </c>
      <c r="J227" s="3" t="s">
        <v>2430</v>
      </c>
      <c r="K227" s="3" t="s">
        <v>14</v>
      </c>
    </row>
    <row r="228" spans="1:11" x14ac:dyDescent="0.3">
      <c r="A228" s="3">
        <v>224</v>
      </c>
      <c r="B228" s="3" t="s">
        <v>2361</v>
      </c>
      <c r="C228" s="3" t="s">
        <v>2362</v>
      </c>
      <c r="D228" s="3" t="s">
        <v>1801</v>
      </c>
      <c r="E228" s="3" t="s">
        <v>2283</v>
      </c>
      <c r="F228" s="3" t="s">
        <v>2363</v>
      </c>
      <c r="G228" s="3" t="s">
        <v>1045</v>
      </c>
      <c r="H228" s="3" t="s">
        <v>2508</v>
      </c>
      <c r="I228" s="3" t="s">
        <v>13</v>
      </c>
      <c r="J228" s="3" t="s">
        <v>2430</v>
      </c>
      <c r="K228" s="3" t="s">
        <v>139</v>
      </c>
    </row>
    <row r="229" spans="1:11" x14ac:dyDescent="0.3">
      <c r="A229" s="3">
        <v>225</v>
      </c>
      <c r="B229" s="3" t="s">
        <v>2364</v>
      </c>
      <c r="C229" s="3" t="s">
        <v>2365</v>
      </c>
      <c r="D229" s="3" t="s">
        <v>1801</v>
      </c>
      <c r="E229" s="3" t="s">
        <v>2283</v>
      </c>
      <c r="F229" s="3" t="s">
        <v>2366</v>
      </c>
      <c r="G229" s="3" t="s">
        <v>1354</v>
      </c>
      <c r="H229" s="3" t="s">
        <v>2508</v>
      </c>
      <c r="I229" s="3" t="s">
        <v>13</v>
      </c>
      <c r="J229" s="3" t="s">
        <v>2430</v>
      </c>
      <c r="K229" s="3" t="s">
        <v>14</v>
      </c>
    </row>
    <row r="230" spans="1:11" x14ac:dyDescent="0.3">
      <c r="A230" s="3">
        <v>226</v>
      </c>
      <c r="B230" s="3" t="s">
        <v>2367</v>
      </c>
      <c r="C230" s="3" t="s">
        <v>2367</v>
      </c>
      <c r="D230" s="3" t="s">
        <v>1801</v>
      </c>
      <c r="E230" s="3" t="s">
        <v>2283</v>
      </c>
      <c r="F230" s="3" t="s">
        <v>2368</v>
      </c>
      <c r="G230" s="3" t="s">
        <v>2516</v>
      </c>
      <c r="H230" s="3" t="s">
        <v>2508</v>
      </c>
      <c r="I230" s="3" t="s">
        <v>13</v>
      </c>
      <c r="J230" s="3" t="s">
        <v>2430</v>
      </c>
      <c r="K230" s="3" t="s">
        <v>36</v>
      </c>
    </row>
    <row r="231" spans="1:11" x14ac:dyDescent="0.3">
      <c r="A231" s="3">
        <v>227</v>
      </c>
      <c r="B231" s="3" t="s">
        <v>2369</v>
      </c>
      <c r="C231" s="3" t="s">
        <v>2370</v>
      </c>
      <c r="D231" s="3" t="s">
        <v>1801</v>
      </c>
      <c r="E231" s="3" t="s">
        <v>2283</v>
      </c>
      <c r="F231" s="3" t="s">
        <v>2371</v>
      </c>
      <c r="G231" s="3" t="s">
        <v>2517</v>
      </c>
      <c r="H231" s="3" t="s">
        <v>2508</v>
      </c>
      <c r="I231" s="3" t="s">
        <v>13</v>
      </c>
      <c r="J231" s="3" t="s">
        <v>2430</v>
      </c>
      <c r="K231" s="3" t="s">
        <v>205</v>
      </c>
    </row>
    <row r="232" spans="1:11" x14ac:dyDescent="0.3">
      <c r="A232" s="3">
        <v>228</v>
      </c>
      <c r="B232" s="3" t="s">
        <v>2372</v>
      </c>
      <c r="C232" s="3" t="s">
        <v>2373</v>
      </c>
      <c r="D232" s="3" t="s">
        <v>1801</v>
      </c>
      <c r="E232" s="3" t="s">
        <v>2283</v>
      </c>
      <c r="F232" s="3" t="s">
        <v>2374</v>
      </c>
      <c r="G232" s="3" t="s">
        <v>1012</v>
      </c>
      <c r="H232" s="3" t="s">
        <v>2508</v>
      </c>
      <c r="I232" s="3" t="s">
        <v>13</v>
      </c>
      <c r="J232" s="3" t="s">
        <v>2430</v>
      </c>
      <c r="K232" s="3" t="s">
        <v>14</v>
      </c>
    </row>
    <row r="233" spans="1:11" x14ac:dyDescent="0.3">
      <c r="A233" s="3">
        <v>229</v>
      </c>
      <c r="B233" s="3" t="s">
        <v>2375</v>
      </c>
      <c r="C233" s="3" t="s">
        <v>2375</v>
      </c>
      <c r="D233" s="3" t="s">
        <v>1801</v>
      </c>
      <c r="E233" s="3" t="s">
        <v>2283</v>
      </c>
      <c r="F233" s="3" t="s">
        <v>2376</v>
      </c>
      <c r="G233" s="3" t="s">
        <v>1014</v>
      </c>
      <c r="H233" s="3" t="s">
        <v>2508</v>
      </c>
      <c r="I233" s="3" t="s">
        <v>13</v>
      </c>
      <c r="J233" s="3" t="s">
        <v>2430</v>
      </c>
      <c r="K233" s="3" t="s">
        <v>20</v>
      </c>
    </row>
    <row r="234" spans="1:11" x14ac:dyDescent="0.3">
      <c r="A234" s="3">
        <v>230</v>
      </c>
      <c r="B234" s="3" t="s">
        <v>2377</v>
      </c>
      <c r="C234" s="3" t="s">
        <v>2378</v>
      </c>
      <c r="D234" s="3" t="s">
        <v>1801</v>
      </c>
      <c r="E234" s="3" t="s">
        <v>2283</v>
      </c>
      <c r="F234" s="3" t="s">
        <v>2293</v>
      </c>
      <c r="G234" s="3" t="s">
        <v>1340</v>
      </c>
      <c r="H234" s="3" t="s">
        <v>2508</v>
      </c>
      <c r="I234" s="3" t="s">
        <v>13</v>
      </c>
      <c r="J234" s="3" t="s">
        <v>2430</v>
      </c>
      <c r="K234" s="3" t="s">
        <v>43</v>
      </c>
    </row>
    <row r="235" spans="1:11" x14ac:dyDescent="0.3">
      <c r="A235" s="3">
        <v>231</v>
      </c>
      <c r="B235" s="3" t="s">
        <v>2379</v>
      </c>
      <c r="C235" s="3" t="s">
        <v>2380</v>
      </c>
      <c r="D235" s="3" t="s">
        <v>1801</v>
      </c>
      <c r="E235" s="3" t="s">
        <v>2283</v>
      </c>
      <c r="F235" s="3" t="s">
        <v>2311</v>
      </c>
      <c r="G235" s="3" t="s">
        <v>1526</v>
      </c>
      <c r="H235" s="3" t="s">
        <v>2508</v>
      </c>
      <c r="I235" s="3" t="s">
        <v>13</v>
      </c>
      <c r="J235" s="3" t="s">
        <v>2430</v>
      </c>
      <c r="K235" s="3" t="s">
        <v>224</v>
      </c>
    </row>
    <row r="236" spans="1:11" x14ac:dyDescent="0.3">
      <c r="A236" s="13">
        <v>232</v>
      </c>
      <c r="B236" s="13" t="s">
        <v>2381</v>
      </c>
      <c r="C236" s="13" t="s">
        <v>2382</v>
      </c>
      <c r="D236" s="13" t="s">
        <v>1801</v>
      </c>
      <c r="E236" s="13" t="s">
        <v>2283</v>
      </c>
      <c r="F236" s="13" t="s">
        <v>2293</v>
      </c>
      <c r="G236" s="13" t="s">
        <v>2518</v>
      </c>
      <c r="H236" s="13" t="s">
        <v>2508</v>
      </c>
      <c r="I236" s="13" t="s">
        <v>13</v>
      </c>
      <c r="J236" s="13" t="s">
        <v>928</v>
      </c>
      <c r="K236" s="13" t="s">
        <v>43</v>
      </c>
    </row>
    <row r="237" spans="1:11" x14ac:dyDescent="0.3">
      <c r="A237" s="12">
        <v>233</v>
      </c>
      <c r="B237" s="12" t="s">
        <v>2383</v>
      </c>
      <c r="C237" s="12" t="s">
        <v>2384</v>
      </c>
      <c r="D237" s="12" t="s">
        <v>1801</v>
      </c>
      <c r="E237" s="12" t="s">
        <v>2283</v>
      </c>
      <c r="F237" s="12" t="s">
        <v>2385</v>
      </c>
      <c r="G237" s="12" t="s">
        <v>957</v>
      </c>
      <c r="H237" s="12" t="s">
        <v>2508</v>
      </c>
      <c r="I237" s="12" t="s">
        <v>13</v>
      </c>
      <c r="J237" s="12" t="s">
        <v>926</v>
      </c>
      <c r="K237" s="12" t="s">
        <v>20</v>
      </c>
    </row>
    <row r="238" spans="1:11" x14ac:dyDescent="0.3">
      <c r="A238" s="12">
        <v>234</v>
      </c>
      <c r="B238" s="12" t="s">
        <v>1494</v>
      </c>
      <c r="C238" s="12" t="s">
        <v>2386</v>
      </c>
      <c r="D238" s="12" t="s">
        <v>1801</v>
      </c>
      <c r="E238" s="12" t="s">
        <v>2283</v>
      </c>
      <c r="F238" s="12" t="s">
        <v>2387</v>
      </c>
      <c r="G238" s="12" t="s">
        <v>1009</v>
      </c>
      <c r="H238" s="12" t="s">
        <v>2508</v>
      </c>
      <c r="I238" s="12" t="s">
        <v>13</v>
      </c>
      <c r="J238" s="12" t="s">
        <v>926</v>
      </c>
      <c r="K238" s="12" t="s">
        <v>14</v>
      </c>
    </row>
    <row r="239" spans="1:11" x14ac:dyDescent="0.3">
      <c r="A239" s="12">
        <v>235</v>
      </c>
      <c r="B239" s="12" t="s">
        <v>1494</v>
      </c>
      <c r="C239" s="12" t="s">
        <v>2388</v>
      </c>
      <c r="D239" s="12" t="s">
        <v>1801</v>
      </c>
      <c r="E239" s="12" t="s">
        <v>2283</v>
      </c>
      <c r="F239" s="12" t="s">
        <v>2389</v>
      </c>
      <c r="G239" s="12" t="s">
        <v>1332</v>
      </c>
      <c r="H239" s="12" t="s">
        <v>2508</v>
      </c>
      <c r="I239" s="12" t="s">
        <v>13</v>
      </c>
      <c r="J239" s="12" t="s">
        <v>926</v>
      </c>
      <c r="K239" s="12" t="s">
        <v>165</v>
      </c>
    </row>
    <row r="240" spans="1:11" x14ac:dyDescent="0.3">
      <c r="A240" s="12">
        <v>236</v>
      </c>
      <c r="B240" s="12" t="s">
        <v>1618</v>
      </c>
      <c r="C240" s="12" t="s">
        <v>2390</v>
      </c>
      <c r="D240" s="12" t="s">
        <v>1801</v>
      </c>
      <c r="E240" s="12" t="s">
        <v>2283</v>
      </c>
      <c r="F240" s="12" t="s">
        <v>2366</v>
      </c>
      <c r="G240" s="12" t="s">
        <v>1479</v>
      </c>
      <c r="H240" s="12" t="s">
        <v>2508</v>
      </c>
      <c r="I240" s="12" t="s">
        <v>13</v>
      </c>
      <c r="J240" s="12" t="s">
        <v>926</v>
      </c>
      <c r="K240" s="12" t="s">
        <v>20</v>
      </c>
    </row>
    <row r="241" spans="1:11" x14ac:dyDescent="0.3">
      <c r="A241" s="11">
        <v>237</v>
      </c>
      <c r="B241" s="11" t="s">
        <v>2391</v>
      </c>
      <c r="C241" s="11" t="s">
        <v>2392</v>
      </c>
      <c r="D241" s="11" t="s">
        <v>1801</v>
      </c>
      <c r="E241" s="11" t="s">
        <v>2283</v>
      </c>
      <c r="F241" s="11" t="s">
        <v>2393</v>
      </c>
      <c r="G241" s="11" t="s">
        <v>1007</v>
      </c>
      <c r="H241" s="11" t="s">
        <v>2508</v>
      </c>
      <c r="I241" s="11" t="s">
        <v>13</v>
      </c>
      <c r="J241" s="11" t="s">
        <v>2431</v>
      </c>
      <c r="K241" s="11" t="s">
        <v>43</v>
      </c>
    </row>
    <row r="242" spans="1:11" x14ac:dyDescent="0.3">
      <c r="A242" s="3">
        <v>238</v>
      </c>
      <c r="B242" s="3" t="s">
        <v>2394</v>
      </c>
      <c r="C242" s="3" t="s">
        <v>2395</v>
      </c>
      <c r="D242" s="3" t="s">
        <v>1801</v>
      </c>
      <c r="E242" s="3" t="s">
        <v>2283</v>
      </c>
      <c r="F242" s="3" t="s">
        <v>2396</v>
      </c>
      <c r="G242" s="3" t="s">
        <v>2519</v>
      </c>
      <c r="H242" s="3" t="s">
        <v>2508</v>
      </c>
      <c r="I242" s="3" t="s">
        <v>13</v>
      </c>
      <c r="J242" s="3" t="s">
        <v>2430</v>
      </c>
      <c r="K242" s="3" t="s">
        <v>20</v>
      </c>
    </row>
    <row r="243" spans="1:11" x14ac:dyDescent="0.3">
      <c r="A243" s="12">
        <v>239</v>
      </c>
      <c r="B243" s="12" t="s">
        <v>2397</v>
      </c>
      <c r="C243" s="12" t="s">
        <v>2398</v>
      </c>
      <c r="D243" s="12" t="s">
        <v>1801</v>
      </c>
      <c r="E243" s="12" t="s">
        <v>2283</v>
      </c>
      <c r="F243" s="12" t="s">
        <v>2287</v>
      </c>
      <c r="G243" s="12" t="s">
        <v>999</v>
      </c>
      <c r="H243" s="12" t="s">
        <v>2508</v>
      </c>
      <c r="I243" s="12" t="s">
        <v>13</v>
      </c>
      <c r="J243" s="12" t="s">
        <v>926</v>
      </c>
      <c r="K243" s="12" t="s">
        <v>66</v>
      </c>
    </row>
    <row r="244" spans="1:11" x14ac:dyDescent="0.3">
      <c r="A244" s="11">
        <v>240</v>
      </c>
      <c r="B244" s="11" t="s">
        <v>2399</v>
      </c>
      <c r="C244" s="11" t="s">
        <v>222</v>
      </c>
      <c r="D244" s="11" t="s">
        <v>1801</v>
      </c>
      <c r="E244" s="11" t="s">
        <v>2283</v>
      </c>
      <c r="F244" s="11" t="s">
        <v>2400</v>
      </c>
      <c r="G244" s="11" t="s">
        <v>971</v>
      </c>
      <c r="H244" s="11" t="s">
        <v>2508</v>
      </c>
      <c r="I244" s="11" t="s">
        <v>13</v>
      </c>
      <c r="J244" s="11" t="s">
        <v>2431</v>
      </c>
      <c r="K244" s="11" t="s">
        <v>241</v>
      </c>
    </row>
    <row r="245" spans="1:11" x14ac:dyDescent="0.3">
      <c r="A245" s="11">
        <v>241</v>
      </c>
      <c r="B245" s="11" t="s">
        <v>1836</v>
      </c>
      <c r="C245" s="11" t="s">
        <v>119</v>
      </c>
      <c r="D245" s="11" t="s">
        <v>1801</v>
      </c>
      <c r="E245" s="11" t="s">
        <v>2283</v>
      </c>
      <c r="F245" s="11" t="s">
        <v>2401</v>
      </c>
      <c r="G245" s="11" t="s">
        <v>2520</v>
      </c>
      <c r="H245" s="11" t="s">
        <v>2508</v>
      </c>
      <c r="I245" s="11" t="s">
        <v>13</v>
      </c>
      <c r="J245" s="11" t="s">
        <v>2431</v>
      </c>
      <c r="K245" s="11" t="s">
        <v>14</v>
      </c>
    </row>
    <row r="246" spans="1:11" x14ac:dyDescent="0.3">
      <c r="A246" s="11">
        <v>242</v>
      </c>
      <c r="B246" s="11" t="s">
        <v>1000</v>
      </c>
      <c r="C246" s="11" t="s">
        <v>2402</v>
      </c>
      <c r="D246" s="11" t="s">
        <v>1801</v>
      </c>
      <c r="E246" s="11" t="s">
        <v>2283</v>
      </c>
      <c r="F246" s="11" t="s">
        <v>2403</v>
      </c>
      <c r="G246" s="11" t="s">
        <v>1627</v>
      </c>
      <c r="H246" s="11" t="s">
        <v>2508</v>
      </c>
      <c r="I246" s="11" t="s">
        <v>13</v>
      </c>
      <c r="J246" s="11" t="s">
        <v>2431</v>
      </c>
      <c r="K246" s="11" t="s">
        <v>1701</v>
      </c>
    </row>
    <row r="247" spans="1:11" x14ac:dyDescent="0.3">
      <c r="A247" s="11">
        <v>243</v>
      </c>
      <c r="B247" s="11" t="s">
        <v>1000</v>
      </c>
      <c r="C247" s="11" t="s">
        <v>2404</v>
      </c>
      <c r="D247" s="11" t="s">
        <v>1801</v>
      </c>
      <c r="E247" s="11" t="s">
        <v>2283</v>
      </c>
      <c r="F247" s="11" t="s">
        <v>2405</v>
      </c>
      <c r="G247" s="11" t="s">
        <v>2521</v>
      </c>
      <c r="H247" s="11" t="s">
        <v>2508</v>
      </c>
      <c r="I247" s="11" t="s">
        <v>13</v>
      </c>
      <c r="J247" s="11" t="s">
        <v>2431</v>
      </c>
      <c r="K247" s="11" t="s">
        <v>14</v>
      </c>
    </row>
    <row r="248" spans="1:11" x14ac:dyDescent="0.3">
      <c r="A248" s="11">
        <v>244</v>
      </c>
      <c r="B248" s="11" t="s">
        <v>1000</v>
      </c>
      <c r="C248" s="11" t="s">
        <v>2406</v>
      </c>
      <c r="D248" s="11" t="s">
        <v>1801</v>
      </c>
      <c r="E248" s="11" t="s">
        <v>2283</v>
      </c>
      <c r="F248" s="11" t="s">
        <v>2366</v>
      </c>
      <c r="G248" s="11" t="s">
        <v>1479</v>
      </c>
      <c r="H248" s="11" t="s">
        <v>2508</v>
      </c>
      <c r="I248" s="11" t="s">
        <v>13</v>
      </c>
      <c r="J248" s="11" t="s">
        <v>2431</v>
      </c>
      <c r="K248" s="11" t="s">
        <v>1701</v>
      </c>
    </row>
    <row r="249" spans="1:11" x14ac:dyDescent="0.3">
      <c r="A249" s="12">
        <v>245</v>
      </c>
      <c r="B249" s="12" t="s">
        <v>2407</v>
      </c>
      <c r="C249" s="12" t="s">
        <v>2408</v>
      </c>
      <c r="D249" s="12" t="s">
        <v>1801</v>
      </c>
      <c r="E249" s="12" t="s">
        <v>2283</v>
      </c>
      <c r="F249" s="12" t="s">
        <v>2341</v>
      </c>
      <c r="G249" s="12" t="s">
        <v>1079</v>
      </c>
      <c r="H249" s="12" t="s">
        <v>2508</v>
      </c>
      <c r="I249" s="12" t="s">
        <v>13</v>
      </c>
      <c r="J249" s="12" t="s">
        <v>926</v>
      </c>
      <c r="K249" s="12" t="s">
        <v>66</v>
      </c>
    </row>
    <row r="250" spans="1:11" x14ac:dyDescent="0.3">
      <c r="A250" s="12">
        <v>246</v>
      </c>
      <c r="B250" s="12" t="s">
        <v>2409</v>
      </c>
      <c r="C250" s="12" t="s">
        <v>2410</v>
      </c>
      <c r="D250" s="12" t="s">
        <v>1801</v>
      </c>
      <c r="E250" s="12" t="s">
        <v>2283</v>
      </c>
      <c r="F250" s="12" t="s">
        <v>2411</v>
      </c>
      <c r="G250" s="12" t="s">
        <v>2522</v>
      </c>
      <c r="H250" s="12" t="s">
        <v>2508</v>
      </c>
      <c r="I250" s="12" t="s">
        <v>13</v>
      </c>
      <c r="J250" s="12" t="s">
        <v>926</v>
      </c>
      <c r="K250" s="12" t="s">
        <v>488</v>
      </c>
    </row>
    <row r="251" spans="1:11" x14ac:dyDescent="0.3">
      <c r="A251" s="12">
        <v>247</v>
      </c>
      <c r="B251" s="12" t="s">
        <v>2412</v>
      </c>
      <c r="C251" s="12" t="s">
        <v>2413</v>
      </c>
      <c r="D251" s="12" t="s">
        <v>1801</v>
      </c>
      <c r="E251" s="12" t="s">
        <v>2283</v>
      </c>
      <c r="F251" s="12" t="s">
        <v>2314</v>
      </c>
      <c r="G251" s="12" t="s">
        <v>2523</v>
      </c>
      <c r="H251" s="12" t="s">
        <v>2508</v>
      </c>
      <c r="I251" s="12" t="s">
        <v>13</v>
      </c>
      <c r="J251" s="12" t="s">
        <v>926</v>
      </c>
      <c r="K251" s="12" t="s">
        <v>43</v>
      </c>
    </row>
    <row r="252" spans="1:11" x14ac:dyDescent="0.3">
      <c r="A252" s="3">
        <v>248</v>
      </c>
      <c r="B252" s="3" t="s">
        <v>2414</v>
      </c>
      <c r="C252" s="3" t="s">
        <v>2415</v>
      </c>
      <c r="D252" s="3" t="s">
        <v>1801</v>
      </c>
      <c r="E252" s="3" t="s">
        <v>2283</v>
      </c>
      <c r="F252" s="3" t="s">
        <v>2416</v>
      </c>
      <c r="G252" s="3" t="s">
        <v>965</v>
      </c>
      <c r="H252" s="3" t="s">
        <v>2508</v>
      </c>
      <c r="I252" s="3" t="s">
        <v>13</v>
      </c>
      <c r="J252" s="3" t="s">
        <v>2430</v>
      </c>
      <c r="K252" s="3" t="s">
        <v>2417</v>
      </c>
    </row>
    <row r="253" spans="1:11" x14ac:dyDescent="0.3">
      <c r="A253" s="3">
        <v>249</v>
      </c>
      <c r="B253" s="3" t="s">
        <v>2418</v>
      </c>
      <c r="C253" s="3" t="s">
        <v>2419</v>
      </c>
      <c r="D253" s="3" t="s">
        <v>1801</v>
      </c>
      <c r="E253" s="3" t="s">
        <v>2420</v>
      </c>
      <c r="F253" s="3" t="s">
        <v>61</v>
      </c>
      <c r="G253" s="3" t="s">
        <v>1058</v>
      </c>
      <c r="H253" s="3" t="s">
        <v>2486</v>
      </c>
      <c r="I253" s="3" t="s">
        <v>13</v>
      </c>
      <c r="J253" s="3" t="s">
        <v>2430</v>
      </c>
      <c r="K253" s="3" t="s">
        <v>43</v>
      </c>
    </row>
    <row r="254" spans="1:11" x14ac:dyDescent="0.3">
      <c r="A254" s="12">
        <v>250</v>
      </c>
      <c r="B254" s="12" t="s">
        <v>2421</v>
      </c>
      <c r="C254" s="12" t="s">
        <v>2422</v>
      </c>
      <c r="D254" s="12" t="s">
        <v>1801</v>
      </c>
      <c r="E254" s="12" t="s">
        <v>2420</v>
      </c>
      <c r="F254" s="12" t="s">
        <v>2423</v>
      </c>
      <c r="G254" s="12" t="s">
        <v>1556</v>
      </c>
      <c r="H254" s="12" t="s">
        <v>2486</v>
      </c>
      <c r="I254" s="12" t="s">
        <v>13</v>
      </c>
      <c r="J254" s="12" t="s">
        <v>926</v>
      </c>
      <c r="K254" s="12" t="s">
        <v>43</v>
      </c>
    </row>
    <row r="255" spans="1:11" x14ac:dyDescent="0.3">
      <c r="A255" s="3">
        <v>251</v>
      </c>
      <c r="B255" s="3" t="s">
        <v>2424</v>
      </c>
      <c r="C255" s="3" t="s">
        <v>2425</v>
      </c>
      <c r="D255" s="3" t="s">
        <v>1801</v>
      </c>
      <c r="E255" s="3" t="s">
        <v>2420</v>
      </c>
      <c r="F255" s="3" t="s">
        <v>461</v>
      </c>
      <c r="G255" s="3" t="s">
        <v>1005</v>
      </c>
      <c r="H255" s="3" t="s">
        <v>2486</v>
      </c>
      <c r="I255" s="3" t="s">
        <v>13</v>
      </c>
      <c r="J255" s="3" t="s">
        <v>2430</v>
      </c>
      <c r="K255" s="3" t="s">
        <v>43</v>
      </c>
    </row>
    <row r="256" spans="1:11" x14ac:dyDescent="0.3">
      <c r="A256" s="11">
        <v>252</v>
      </c>
      <c r="B256" s="11" t="s">
        <v>1000</v>
      </c>
      <c r="C256" s="11" t="s">
        <v>2426</v>
      </c>
      <c r="D256" s="11" t="s">
        <v>1801</v>
      </c>
      <c r="E256" s="11" t="s">
        <v>2420</v>
      </c>
      <c r="F256" s="11" t="s">
        <v>2423</v>
      </c>
      <c r="G256" s="11" t="s">
        <v>1104</v>
      </c>
      <c r="H256" s="11" t="s">
        <v>2486</v>
      </c>
      <c r="I256" s="11" t="s">
        <v>13</v>
      </c>
      <c r="J256" s="11" t="s">
        <v>2431</v>
      </c>
      <c r="K256" s="11" t="s">
        <v>1701</v>
      </c>
    </row>
    <row r="257" spans="1:11" x14ac:dyDescent="0.3">
      <c r="A257" s="11">
        <v>253</v>
      </c>
      <c r="B257" s="11" t="s">
        <v>2427</v>
      </c>
      <c r="C257" s="11" t="s">
        <v>2428</v>
      </c>
      <c r="D257" s="11" t="s">
        <v>1801</v>
      </c>
      <c r="E257" s="11" t="s">
        <v>2429</v>
      </c>
      <c r="F257" s="11" t="s">
        <v>2120</v>
      </c>
      <c r="G257" s="11" t="s">
        <v>957</v>
      </c>
      <c r="H257" s="11" t="s">
        <v>2453</v>
      </c>
      <c r="I257" s="11" t="s">
        <v>13</v>
      </c>
      <c r="J257" s="11" t="s">
        <v>2431</v>
      </c>
      <c r="K257" s="11" t="s">
        <v>195</v>
      </c>
    </row>
  </sheetData>
  <autoFilter ref="A4:K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569"/>
  <sheetViews>
    <sheetView workbookViewId="0">
      <selection activeCell="A3" sqref="A3:XFD3"/>
    </sheetView>
  </sheetViews>
  <sheetFormatPr defaultRowHeight="14.4" x14ac:dyDescent="0.3"/>
  <cols>
    <col min="1" max="1" width="4" bestFit="1" customWidth="1"/>
    <col min="2" max="2" width="33" bestFit="1" customWidth="1"/>
    <col min="3" max="3" width="31.33203125" bestFit="1" customWidth="1"/>
    <col min="4" max="4" width="15.44140625" bestFit="1" customWidth="1"/>
    <col min="5" max="5" width="27.77734375" bestFit="1" customWidth="1"/>
    <col min="6" max="6" width="40.33203125" bestFit="1" customWidth="1"/>
    <col min="7" max="7" width="10.6640625" bestFit="1" customWidth="1"/>
    <col min="8" max="8" width="6" bestFit="1" customWidth="1"/>
    <col min="9" max="9" width="8.33203125" bestFit="1" customWidth="1"/>
    <col min="10" max="10" width="42.5546875" bestFit="1" customWidth="1"/>
    <col min="11" max="11" width="50.44140625" bestFit="1" customWidth="1"/>
  </cols>
  <sheetData>
    <row r="1" spans="1:11" ht="18.75" x14ac:dyDescent="0.3">
      <c r="F1" s="1" t="s">
        <v>383</v>
      </c>
    </row>
    <row r="3" spans="1:11" ht="15" x14ac:dyDescent="0.25">
      <c r="A3" s="14" t="s">
        <v>929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2525</v>
      </c>
      <c r="K3" s="14" t="s">
        <v>8</v>
      </c>
    </row>
    <row r="4" spans="1:11" ht="15" x14ac:dyDescent="0.25">
      <c r="A4" s="7">
        <v>1</v>
      </c>
      <c r="B4" s="7" t="s">
        <v>3910</v>
      </c>
      <c r="C4" s="7" t="s">
        <v>3911</v>
      </c>
      <c r="D4" s="7" t="s">
        <v>3912</v>
      </c>
      <c r="E4" s="7" t="s">
        <v>3913</v>
      </c>
      <c r="F4" s="7" t="s">
        <v>3914</v>
      </c>
      <c r="G4" s="7" t="str">
        <f>"18"</f>
        <v>18</v>
      </c>
      <c r="H4" s="7" t="str">
        <f>"30020"</f>
        <v>30020</v>
      </c>
      <c r="I4" s="7" t="s">
        <v>13</v>
      </c>
      <c r="J4" s="7" t="s">
        <v>925</v>
      </c>
      <c r="K4" s="7" t="s">
        <v>398</v>
      </c>
    </row>
    <row r="5" spans="1:11" ht="15" x14ac:dyDescent="0.25">
      <c r="A5" s="7">
        <v>2</v>
      </c>
      <c r="B5" s="7" t="s">
        <v>3915</v>
      </c>
      <c r="C5" s="7" t="s">
        <v>3916</v>
      </c>
      <c r="D5" s="7" t="s">
        <v>3912</v>
      </c>
      <c r="E5" s="7" t="s">
        <v>3913</v>
      </c>
      <c r="F5" s="7" t="s">
        <v>69</v>
      </c>
      <c r="G5" s="7" t="str">
        <f>"2"</f>
        <v>2</v>
      </c>
      <c r="H5" s="7" t="str">
        <f>"30020"</f>
        <v>30020</v>
      </c>
      <c r="I5" s="7" t="s">
        <v>13</v>
      </c>
      <c r="J5" s="7" t="s">
        <v>925</v>
      </c>
      <c r="K5" s="7" t="s">
        <v>58</v>
      </c>
    </row>
    <row r="6" spans="1:11" ht="15" x14ac:dyDescent="0.25">
      <c r="A6" s="8">
        <v>3</v>
      </c>
      <c r="B6" s="8" t="s">
        <v>1000</v>
      </c>
      <c r="C6" s="8" t="s">
        <v>3917</v>
      </c>
      <c r="D6" s="8" t="s">
        <v>3912</v>
      </c>
      <c r="E6" s="8" t="s">
        <v>3918</v>
      </c>
      <c r="F6" s="8" t="s">
        <v>48</v>
      </c>
      <c r="G6" s="8" t="str">
        <f>"51"</f>
        <v>51</v>
      </c>
      <c r="H6" s="8" t="str">
        <f t="shared" ref="H6:H12" si="0">"30010"</f>
        <v>30010</v>
      </c>
      <c r="I6" s="8" t="s">
        <v>13</v>
      </c>
      <c r="J6" s="8" t="s">
        <v>927</v>
      </c>
      <c r="K6" s="8" t="s">
        <v>14</v>
      </c>
    </row>
    <row r="7" spans="1:11" ht="15" x14ac:dyDescent="0.25">
      <c r="A7" s="8">
        <v>4</v>
      </c>
      <c r="B7" s="8" t="s">
        <v>1626</v>
      </c>
      <c r="C7" s="8" t="s">
        <v>1712</v>
      </c>
      <c r="D7" s="8" t="s">
        <v>3912</v>
      </c>
      <c r="E7" s="8" t="s">
        <v>3919</v>
      </c>
      <c r="F7" s="8" t="s">
        <v>3920</v>
      </c>
      <c r="G7" s="8" t="str">
        <f>"2"</f>
        <v>2</v>
      </c>
      <c r="H7" s="8" t="str">
        <f t="shared" si="0"/>
        <v>30010</v>
      </c>
      <c r="I7" s="8" t="s">
        <v>13</v>
      </c>
      <c r="J7" s="8" t="s">
        <v>927</v>
      </c>
      <c r="K7" s="8" t="s">
        <v>14</v>
      </c>
    </row>
    <row r="8" spans="1:11" ht="15" x14ac:dyDescent="0.25">
      <c r="A8" s="8">
        <v>5</v>
      </c>
      <c r="B8" s="8" t="s">
        <v>1626</v>
      </c>
      <c r="C8" s="8" t="s">
        <v>1712</v>
      </c>
      <c r="D8" s="8" t="s">
        <v>3912</v>
      </c>
      <c r="E8" s="8" t="s">
        <v>3919</v>
      </c>
      <c r="F8" s="8" t="s">
        <v>3921</v>
      </c>
      <c r="G8" s="8" t="str">
        <f>"2/1"</f>
        <v>2/1</v>
      </c>
      <c r="H8" s="8" t="str">
        <f t="shared" si="0"/>
        <v>30010</v>
      </c>
      <c r="I8" s="8" t="s">
        <v>13</v>
      </c>
      <c r="J8" s="8" t="s">
        <v>927</v>
      </c>
      <c r="K8" s="8" t="s">
        <v>14</v>
      </c>
    </row>
    <row r="9" spans="1:11" ht="15" x14ac:dyDescent="0.25">
      <c r="A9" s="8">
        <v>6</v>
      </c>
      <c r="B9" s="8" t="s">
        <v>3922</v>
      </c>
      <c r="C9" s="8" t="s">
        <v>3923</v>
      </c>
      <c r="D9" s="8" t="s">
        <v>3912</v>
      </c>
      <c r="E9" s="8" t="s">
        <v>3919</v>
      </c>
      <c r="F9" s="8" t="s">
        <v>2185</v>
      </c>
      <c r="G9" s="8" t="str">
        <f>"107"</f>
        <v>107</v>
      </c>
      <c r="H9" s="8" t="str">
        <f t="shared" si="0"/>
        <v>30010</v>
      </c>
      <c r="I9" s="8" t="s">
        <v>13</v>
      </c>
      <c r="J9" s="8" t="s">
        <v>927</v>
      </c>
      <c r="K9" s="8" t="s">
        <v>115</v>
      </c>
    </row>
    <row r="10" spans="1:11" ht="15" x14ac:dyDescent="0.25">
      <c r="A10" s="8">
        <v>7</v>
      </c>
      <c r="B10" s="8" t="s">
        <v>1626</v>
      </c>
      <c r="C10" s="8" t="s">
        <v>1712</v>
      </c>
      <c r="D10" s="8" t="s">
        <v>3912</v>
      </c>
      <c r="E10" s="8" t="s">
        <v>3924</v>
      </c>
      <c r="F10" s="8" t="s">
        <v>2801</v>
      </c>
      <c r="G10" s="8" t="str">
        <f>"6"</f>
        <v>6</v>
      </c>
      <c r="H10" s="8" t="str">
        <f t="shared" si="0"/>
        <v>30010</v>
      </c>
      <c r="I10" s="8" t="s">
        <v>13</v>
      </c>
      <c r="J10" s="8" t="s">
        <v>927</v>
      </c>
      <c r="K10" s="8" t="s">
        <v>14</v>
      </c>
    </row>
    <row r="11" spans="1:11" ht="15" x14ac:dyDescent="0.25">
      <c r="A11" s="7">
        <v>8</v>
      </c>
      <c r="B11" s="7" t="s">
        <v>3925</v>
      </c>
      <c r="C11" s="7" t="s">
        <v>3926</v>
      </c>
      <c r="D11" s="7" t="s">
        <v>3912</v>
      </c>
      <c r="E11" s="7" t="s">
        <v>3924</v>
      </c>
      <c r="F11" s="7" t="s">
        <v>3002</v>
      </c>
      <c r="G11" s="7" t="str">
        <f>"139"</f>
        <v>139</v>
      </c>
      <c r="H11" s="7" t="str">
        <f t="shared" si="0"/>
        <v>30010</v>
      </c>
      <c r="I11" s="7" t="s">
        <v>13</v>
      </c>
      <c r="J11" s="7" t="s">
        <v>925</v>
      </c>
      <c r="K11" s="7" t="s">
        <v>36</v>
      </c>
    </row>
    <row r="12" spans="1:11" ht="15" x14ac:dyDescent="0.25">
      <c r="A12" s="10">
        <v>9</v>
      </c>
      <c r="B12" s="10" t="s">
        <v>3927</v>
      </c>
      <c r="C12" s="10" t="s">
        <v>3928</v>
      </c>
      <c r="D12" s="10" t="s">
        <v>3912</v>
      </c>
      <c r="E12" s="10" t="s">
        <v>3924</v>
      </c>
      <c r="F12" s="10" t="s">
        <v>3929</v>
      </c>
      <c r="G12" s="10" t="str">
        <f>"1"</f>
        <v>1</v>
      </c>
      <c r="H12" s="10" t="str">
        <f t="shared" si="0"/>
        <v>30010</v>
      </c>
      <c r="I12" s="10" t="s">
        <v>13</v>
      </c>
      <c r="J12" s="10" t="s">
        <v>926</v>
      </c>
      <c r="K12" s="10" t="s">
        <v>2924</v>
      </c>
    </row>
    <row r="13" spans="1:11" ht="15" x14ac:dyDescent="0.25">
      <c r="A13" s="7">
        <v>10</v>
      </c>
      <c r="B13" s="7" t="s">
        <v>3930</v>
      </c>
      <c r="C13" s="7" t="s">
        <v>3931</v>
      </c>
      <c r="D13" s="7" t="s">
        <v>3912</v>
      </c>
      <c r="E13" s="7" t="s">
        <v>3932</v>
      </c>
      <c r="F13" s="7" t="s">
        <v>3933</v>
      </c>
      <c r="G13" s="7" t="str">
        <f>"142"</f>
        <v>142</v>
      </c>
      <c r="H13" s="7" t="str">
        <f t="shared" ref="H13:H22" si="1">"30021"</f>
        <v>30021</v>
      </c>
      <c r="I13" s="7" t="s">
        <v>13</v>
      </c>
      <c r="J13" s="7" t="s">
        <v>925</v>
      </c>
      <c r="K13" s="7" t="s">
        <v>36</v>
      </c>
    </row>
    <row r="14" spans="1:11" ht="15" x14ac:dyDescent="0.25">
      <c r="A14" s="20">
        <v>11</v>
      </c>
      <c r="B14" s="20" t="s">
        <v>3934</v>
      </c>
      <c r="C14" s="20" t="s">
        <v>3935</v>
      </c>
      <c r="D14" s="20" t="s">
        <v>3912</v>
      </c>
      <c r="E14" s="20" t="s">
        <v>3932</v>
      </c>
      <c r="F14" s="20" t="s">
        <v>3936</v>
      </c>
      <c r="G14" s="20" t="str">
        <f>"3"</f>
        <v>3</v>
      </c>
      <c r="H14" s="20" t="str">
        <f t="shared" si="1"/>
        <v>30021</v>
      </c>
      <c r="I14" s="20" t="s">
        <v>13</v>
      </c>
      <c r="J14" s="20" t="s">
        <v>928</v>
      </c>
      <c r="K14" s="20" t="s">
        <v>36</v>
      </c>
    </row>
    <row r="15" spans="1:11" ht="15" x14ac:dyDescent="0.25">
      <c r="A15" s="10">
        <v>12</v>
      </c>
      <c r="B15" s="10" t="s">
        <v>3937</v>
      </c>
      <c r="C15" s="10" t="s">
        <v>3938</v>
      </c>
      <c r="D15" s="10" t="s">
        <v>3912</v>
      </c>
      <c r="E15" s="10" t="s">
        <v>3932</v>
      </c>
      <c r="F15" s="10" t="s">
        <v>48</v>
      </c>
      <c r="G15" s="10" t="str">
        <f>"22/B1"</f>
        <v>22/B1</v>
      </c>
      <c r="H15" s="10" t="str">
        <f t="shared" si="1"/>
        <v>30021</v>
      </c>
      <c r="I15" s="10" t="s">
        <v>13</v>
      </c>
      <c r="J15" s="10" t="s">
        <v>926</v>
      </c>
      <c r="K15" s="10" t="s">
        <v>14</v>
      </c>
    </row>
    <row r="16" spans="1:11" ht="15" x14ac:dyDescent="0.25">
      <c r="A16" s="8">
        <v>13</v>
      </c>
      <c r="B16" s="8" t="s">
        <v>2764</v>
      </c>
      <c r="C16" s="8" t="s">
        <v>1712</v>
      </c>
      <c r="D16" s="8" t="s">
        <v>3912</v>
      </c>
      <c r="E16" s="8" t="s">
        <v>3932</v>
      </c>
      <c r="F16" s="8" t="s">
        <v>3939</v>
      </c>
      <c r="G16" s="8" t="str">
        <f>"52"</f>
        <v>52</v>
      </c>
      <c r="H16" s="8" t="str">
        <f t="shared" si="1"/>
        <v>30021</v>
      </c>
      <c r="I16" s="8" t="s">
        <v>13</v>
      </c>
      <c r="J16" s="8" t="s">
        <v>927</v>
      </c>
      <c r="K16" s="8" t="s">
        <v>195</v>
      </c>
    </row>
    <row r="17" spans="1:11" ht="15" x14ac:dyDescent="0.25">
      <c r="A17" s="7">
        <v>14</v>
      </c>
      <c r="B17" s="7" t="s">
        <v>3940</v>
      </c>
      <c r="C17" s="7" t="s">
        <v>3941</v>
      </c>
      <c r="D17" s="7" t="s">
        <v>3912</v>
      </c>
      <c r="E17" s="7" t="s">
        <v>3932</v>
      </c>
      <c r="F17" s="7" t="s">
        <v>3942</v>
      </c>
      <c r="G17" s="7" t="str">
        <f>"2"</f>
        <v>2</v>
      </c>
      <c r="H17" s="7" t="str">
        <f t="shared" si="1"/>
        <v>30021</v>
      </c>
      <c r="I17" s="7" t="s">
        <v>13</v>
      </c>
      <c r="J17" s="7" t="s">
        <v>925</v>
      </c>
      <c r="K17" s="7" t="s">
        <v>3943</v>
      </c>
    </row>
    <row r="18" spans="1:11" ht="15" x14ac:dyDescent="0.25">
      <c r="A18" s="7">
        <v>15</v>
      </c>
      <c r="B18" s="7" t="s">
        <v>3944</v>
      </c>
      <c r="C18" s="7" t="s">
        <v>3945</v>
      </c>
      <c r="D18" s="7" t="s">
        <v>3912</v>
      </c>
      <c r="E18" s="7" t="s">
        <v>3932</v>
      </c>
      <c r="F18" s="7" t="s">
        <v>3939</v>
      </c>
      <c r="G18" s="7" t="str">
        <f>"104"</f>
        <v>104</v>
      </c>
      <c r="H18" s="7" t="str">
        <f t="shared" si="1"/>
        <v>30021</v>
      </c>
      <c r="I18" s="7" t="s">
        <v>13</v>
      </c>
      <c r="J18" s="7" t="s">
        <v>925</v>
      </c>
      <c r="K18" s="7" t="s">
        <v>14</v>
      </c>
    </row>
    <row r="19" spans="1:11" ht="15" x14ac:dyDescent="0.25">
      <c r="A19" s="7">
        <v>16</v>
      </c>
      <c r="B19" s="7" t="s">
        <v>3946</v>
      </c>
      <c r="C19" s="7" t="s">
        <v>3947</v>
      </c>
      <c r="D19" s="7" t="s">
        <v>3912</v>
      </c>
      <c r="E19" s="7" t="s">
        <v>3932</v>
      </c>
      <c r="F19" s="7" t="s">
        <v>3948</v>
      </c>
      <c r="G19" s="7" t="str">
        <f>"28"</f>
        <v>28</v>
      </c>
      <c r="H19" s="7" t="str">
        <f t="shared" si="1"/>
        <v>30021</v>
      </c>
      <c r="I19" s="7" t="s">
        <v>13</v>
      </c>
      <c r="J19" s="7" t="s">
        <v>925</v>
      </c>
      <c r="K19" s="7" t="s">
        <v>58</v>
      </c>
    </row>
    <row r="20" spans="1:11" ht="15" x14ac:dyDescent="0.25">
      <c r="A20" s="7">
        <v>17</v>
      </c>
      <c r="B20" s="7" t="s">
        <v>3949</v>
      </c>
      <c r="C20" s="7" t="s">
        <v>3950</v>
      </c>
      <c r="D20" s="7" t="s">
        <v>3912</v>
      </c>
      <c r="E20" s="7" t="s">
        <v>3932</v>
      </c>
      <c r="F20" s="7" t="s">
        <v>3948</v>
      </c>
      <c r="G20" s="7" t="str">
        <f>"18"</f>
        <v>18</v>
      </c>
      <c r="H20" s="7" t="str">
        <f t="shared" si="1"/>
        <v>30021</v>
      </c>
      <c r="I20" s="7" t="s">
        <v>13</v>
      </c>
      <c r="J20" s="7" t="s">
        <v>925</v>
      </c>
      <c r="K20" s="7" t="s">
        <v>1932</v>
      </c>
    </row>
    <row r="21" spans="1:11" ht="15" x14ac:dyDescent="0.25">
      <c r="A21" s="7">
        <v>18</v>
      </c>
      <c r="B21" s="7" t="s">
        <v>3951</v>
      </c>
      <c r="C21" s="7" t="s">
        <v>3952</v>
      </c>
      <c r="D21" s="7" t="s">
        <v>3912</v>
      </c>
      <c r="E21" s="7" t="s">
        <v>3932</v>
      </c>
      <c r="F21" s="7" t="s">
        <v>3953</v>
      </c>
      <c r="G21" s="7" t="str">
        <f>"19"</f>
        <v>19</v>
      </c>
      <c r="H21" s="7" t="str">
        <f t="shared" si="1"/>
        <v>30021</v>
      </c>
      <c r="I21" s="7" t="s">
        <v>13</v>
      </c>
      <c r="J21" s="7" t="s">
        <v>925</v>
      </c>
      <c r="K21" s="7" t="s">
        <v>2924</v>
      </c>
    </row>
    <row r="22" spans="1:11" ht="15" x14ac:dyDescent="0.25">
      <c r="A22" s="8">
        <v>19</v>
      </c>
      <c r="B22" s="8" t="s">
        <v>1000</v>
      </c>
      <c r="C22" s="8" t="s">
        <v>3954</v>
      </c>
      <c r="D22" s="8" t="s">
        <v>3912</v>
      </c>
      <c r="E22" s="8" t="s">
        <v>3932</v>
      </c>
      <c r="F22" s="8" t="s">
        <v>3955</v>
      </c>
      <c r="G22" s="8" t="str">
        <f>"SNC"</f>
        <v>SNC</v>
      </c>
      <c r="H22" s="8" t="str">
        <f t="shared" si="1"/>
        <v>30021</v>
      </c>
      <c r="I22" s="8" t="s">
        <v>13</v>
      </c>
      <c r="J22" s="8" t="s">
        <v>927</v>
      </c>
      <c r="K22" s="8" t="s">
        <v>20</v>
      </c>
    </row>
    <row r="23" spans="1:11" ht="15" x14ac:dyDescent="0.25">
      <c r="A23" s="10">
        <v>20</v>
      </c>
      <c r="B23" s="10" t="s">
        <v>3956</v>
      </c>
      <c r="C23" s="10" t="s">
        <v>3957</v>
      </c>
      <c r="D23" s="10" t="s">
        <v>3912</v>
      </c>
      <c r="E23" s="10" t="s">
        <v>3958</v>
      </c>
      <c r="F23" s="10" t="s">
        <v>3959</v>
      </c>
      <c r="G23" s="10" t="str">
        <f>"38/B"</f>
        <v>38/B</v>
      </c>
      <c r="H23" s="10" t="str">
        <f>"30013"</f>
        <v>30013</v>
      </c>
      <c r="I23" s="10" t="s">
        <v>13</v>
      </c>
      <c r="J23" s="10" t="s">
        <v>926</v>
      </c>
      <c r="K23" s="10" t="s">
        <v>224</v>
      </c>
    </row>
    <row r="24" spans="1:11" ht="15" x14ac:dyDescent="0.25">
      <c r="A24" s="7">
        <v>21</v>
      </c>
      <c r="B24" s="7" t="s">
        <v>3960</v>
      </c>
      <c r="C24" s="7" t="s">
        <v>3961</v>
      </c>
      <c r="D24" s="7" t="s">
        <v>3912</v>
      </c>
      <c r="E24" s="7" t="s">
        <v>3958</v>
      </c>
      <c r="F24" s="7" t="s">
        <v>3962</v>
      </c>
      <c r="G24" s="7" t="str">
        <f>"24"</f>
        <v>24</v>
      </c>
      <c r="H24" s="7" t="str">
        <f>"30013"</f>
        <v>30013</v>
      </c>
      <c r="I24" s="7" t="s">
        <v>13</v>
      </c>
      <c r="J24" s="7" t="s">
        <v>925</v>
      </c>
      <c r="K24" s="7" t="s">
        <v>195</v>
      </c>
    </row>
    <row r="25" spans="1:11" ht="15" x14ac:dyDescent="0.25">
      <c r="A25" s="7">
        <v>22</v>
      </c>
      <c r="B25" s="7" t="s">
        <v>3963</v>
      </c>
      <c r="C25" s="7" t="s">
        <v>3964</v>
      </c>
      <c r="D25" s="7" t="s">
        <v>3912</v>
      </c>
      <c r="E25" s="7" t="s">
        <v>3958</v>
      </c>
      <c r="F25" s="7" t="s">
        <v>3965</v>
      </c>
      <c r="G25" s="7" t="str">
        <f>"171"</f>
        <v>171</v>
      </c>
      <c r="H25" s="7" t="str">
        <f>"30013"</f>
        <v>30013</v>
      </c>
      <c r="I25" s="7" t="s">
        <v>13</v>
      </c>
      <c r="J25" s="7" t="s">
        <v>925</v>
      </c>
      <c r="K25" s="7" t="s">
        <v>58</v>
      </c>
    </row>
    <row r="26" spans="1:11" ht="15" x14ac:dyDescent="0.25">
      <c r="A26" s="8">
        <v>23</v>
      </c>
      <c r="B26" s="8" t="s">
        <v>3966</v>
      </c>
      <c r="C26" s="8" t="s">
        <v>3967</v>
      </c>
      <c r="D26" s="8" t="s">
        <v>3912</v>
      </c>
      <c r="E26" s="8" t="s">
        <v>3958</v>
      </c>
      <c r="F26" s="8" t="s">
        <v>3968</v>
      </c>
      <c r="G26" s="8" t="str">
        <f>"32/A"</f>
        <v>32/A</v>
      </c>
      <c r="H26" s="8" t="str">
        <f>"30013"</f>
        <v>30013</v>
      </c>
      <c r="I26" s="8" t="s">
        <v>13</v>
      </c>
      <c r="J26" s="8" t="s">
        <v>927</v>
      </c>
      <c r="K26" s="8" t="s">
        <v>3027</v>
      </c>
    </row>
    <row r="27" spans="1:11" ht="15" x14ac:dyDescent="0.25">
      <c r="A27" s="7">
        <v>24</v>
      </c>
      <c r="B27" s="7" t="s">
        <v>3969</v>
      </c>
      <c r="C27" s="7" t="s">
        <v>3970</v>
      </c>
      <c r="D27" s="7" t="s">
        <v>3912</v>
      </c>
      <c r="E27" s="7" t="s">
        <v>3958</v>
      </c>
      <c r="F27" s="7" t="s">
        <v>3965</v>
      </c>
      <c r="G27" s="7" t="str">
        <f>"60"</f>
        <v>60</v>
      </c>
      <c r="H27" s="7" t="str">
        <f>"30013"</f>
        <v>30013</v>
      </c>
      <c r="I27" s="7" t="s">
        <v>13</v>
      </c>
      <c r="J27" s="7" t="s">
        <v>925</v>
      </c>
      <c r="K27" s="7" t="s">
        <v>14</v>
      </c>
    </row>
    <row r="28" spans="1:11" ht="15" x14ac:dyDescent="0.25">
      <c r="A28" s="8">
        <v>25</v>
      </c>
      <c r="B28" s="8" t="s">
        <v>931</v>
      </c>
      <c r="C28" s="8" t="s">
        <v>101</v>
      </c>
      <c r="D28" s="8" t="s">
        <v>3912</v>
      </c>
      <c r="E28" s="8" t="s">
        <v>3971</v>
      </c>
      <c r="F28" s="8" t="s">
        <v>3433</v>
      </c>
      <c r="G28" s="8" t="str">
        <f>"5"</f>
        <v>5</v>
      </c>
      <c r="H28" s="8" t="str">
        <f>"30014"</f>
        <v>30014</v>
      </c>
      <c r="I28" s="8" t="s">
        <v>13</v>
      </c>
      <c r="J28" s="8" t="s">
        <v>927</v>
      </c>
      <c r="K28" s="8" t="s">
        <v>14</v>
      </c>
    </row>
    <row r="29" spans="1:11" ht="15" x14ac:dyDescent="0.25">
      <c r="A29" s="7">
        <v>26</v>
      </c>
      <c r="B29" s="7" t="s">
        <v>3972</v>
      </c>
      <c r="C29" s="7" t="s">
        <v>3973</v>
      </c>
      <c r="D29" s="7" t="s">
        <v>3912</v>
      </c>
      <c r="E29" s="7" t="s">
        <v>3971</v>
      </c>
      <c r="F29" s="7" t="s">
        <v>3974</v>
      </c>
      <c r="G29" s="7" t="str">
        <f>"28"</f>
        <v>28</v>
      </c>
      <c r="H29" s="7" t="str">
        <f>"30014"</f>
        <v>30014</v>
      </c>
      <c r="I29" s="7" t="s">
        <v>13</v>
      </c>
      <c r="J29" s="7" t="s">
        <v>925</v>
      </c>
      <c r="K29" s="7" t="s">
        <v>2924</v>
      </c>
    </row>
    <row r="30" spans="1:11" ht="15" x14ac:dyDescent="0.25">
      <c r="A30" s="7">
        <v>27</v>
      </c>
      <c r="B30" s="7" t="s">
        <v>3975</v>
      </c>
      <c r="C30" s="7" t="s">
        <v>3976</v>
      </c>
      <c r="D30" s="7" t="s">
        <v>3912</v>
      </c>
      <c r="E30" s="7" t="s">
        <v>3971</v>
      </c>
      <c r="F30" s="7" t="s">
        <v>3977</v>
      </c>
      <c r="G30" s="7" t="str">
        <f>"3/B"</f>
        <v>3/B</v>
      </c>
      <c r="H30" s="7" t="str">
        <f>"30014"</f>
        <v>30014</v>
      </c>
      <c r="I30" s="7" t="s">
        <v>13</v>
      </c>
      <c r="J30" s="7" t="s">
        <v>925</v>
      </c>
      <c r="K30" s="7" t="s">
        <v>58</v>
      </c>
    </row>
    <row r="31" spans="1:11" ht="15" x14ac:dyDescent="0.25">
      <c r="A31" s="7">
        <v>28</v>
      </c>
      <c r="B31" s="7" t="s">
        <v>3978</v>
      </c>
      <c r="C31" s="7" t="s">
        <v>3979</v>
      </c>
      <c r="D31" s="7" t="s">
        <v>3912</v>
      </c>
      <c r="E31" s="7" t="s">
        <v>3971</v>
      </c>
      <c r="F31" s="7" t="s">
        <v>61</v>
      </c>
      <c r="G31" s="7" t="str">
        <f>"1"</f>
        <v>1</v>
      </c>
      <c r="H31" s="7" t="str">
        <f>"30014"</f>
        <v>30014</v>
      </c>
      <c r="I31" s="7" t="s">
        <v>13</v>
      </c>
      <c r="J31" s="7" t="s">
        <v>925</v>
      </c>
      <c r="K31" s="7" t="s">
        <v>27</v>
      </c>
    </row>
    <row r="32" spans="1:11" ht="15" x14ac:dyDescent="0.25">
      <c r="A32" s="8">
        <v>29</v>
      </c>
      <c r="B32" s="8" t="s">
        <v>1000</v>
      </c>
      <c r="C32" s="8" t="s">
        <v>3980</v>
      </c>
      <c r="D32" s="8" t="s">
        <v>3912</v>
      </c>
      <c r="E32" s="8" t="s">
        <v>3971</v>
      </c>
      <c r="F32" s="8" t="s">
        <v>820</v>
      </c>
      <c r="G32" s="8" t="str">
        <f>"11/2"</f>
        <v>11/2</v>
      </c>
      <c r="H32" s="8" t="str">
        <f>"30014"</f>
        <v>30014</v>
      </c>
      <c r="I32" s="8" t="s">
        <v>13</v>
      </c>
      <c r="J32" s="8" t="s">
        <v>927</v>
      </c>
      <c r="K32" s="8" t="s">
        <v>14</v>
      </c>
    </row>
    <row r="33" spans="1:11" ht="15" x14ac:dyDescent="0.25">
      <c r="A33" s="7">
        <v>30</v>
      </c>
      <c r="B33" s="7" t="s">
        <v>3981</v>
      </c>
      <c r="C33" s="7" t="s">
        <v>3982</v>
      </c>
      <c r="D33" s="7" t="s">
        <v>3912</v>
      </c>
      <c r="E33" s="7" t="s">
        <v>3983</v>
      </c>
      <c r="F33" s="7" t="s">
        <v>3984</v>
      </c>
      <c r="G33" s="7" t="str">
        <f>"SNC"</f>
        <v>SNC</v>
      </c>
      <c r="H33" s="7" t="str">
        <f t="shared" ref="H33:H63" si="2">"30015"</f>
        <v>30015</v>
      </c>
      <c r="I33" s="7" t="s">
        <v>13</v>
      </c>
      <c r="J33" s="7" t="s">
        <v>925</v>
      </c>
      <c r="K33" s="7" t="s">
        <v>14</v>
      </c>
    </row>
    <row r="34" spans="1:11" ht="15" x14ac:dyDescent="0.25">
      <c r="A34" s="7">
        <v>31</v>
      </c>
      <c r="B34" s="7" t="s">
        <v>3985</v>
      </c>
      <c r="C34" s="7" t="s">
        <v>3986</v>
      </c>
      <c r="D34" s="7" t="s">
        <v>3912</v>
      </c>
      <c r="E34" s="7" t="s">
        <v>3983</v>
      </c>
      <c r="F34" s="7" t="s">
        <v>455</v>
      </c>
      <c r="G34" s="7" t="str">
        <f>"1306"</f>
        <v>1306</v>
      </c>
      <c r="H34" s="7" t="str">
        <f t="shared" si="2"/>
        <v>30015</v>
      </c>
      <c r="I34" s="7" t="s">
        <v>13</v>
      </c>
      <c r="J34" s="7" t="s">
        <v>925</v>
      </c>
      <c r="K34" s="7" t="s">
        <v>36</v>
      </c>
    </row>
    <row r="35" spans="1:11" ht="15" x14ac:dyDescent="0.25">
      <c r="A35" s="8">
        <v>32</v>
      </c>
      <c r="B35" s="8" t="s">
        <v>931</v>
      </c>
      <c r="C35" s="8" t="s">
        <v>54</v>
      </c>
      <c r="D35" s="8" t="s">
        <v>3912</v>
      </c>
      <c r="E35" s="8" t="s">
        <v>3983</v>
      </c>
      <c r="F35" s="8" t="s">
        <v>3987</v>
      </c>
      <c r="G35" s="8" t="str">
        <f>"SNC"</f>
        <v>SNC</v>
      </c>
      <c r="H35" s="8" t="str">
        <f t="shared" si="2"/>
        <v>30015</v>
      </c>
      <c r="I35" s="8" t="s">
        <v>13</v>
      </c>
      <c r="J35" s="8" t="s">
        <v>927</v>
      </c>
      <c r="K35" s="8" t="s">
        <v>20</v>
      </c>
    </row>
    <row r="36" spans="1:11" ht="15" x14ac:dyDescent="0.25">
      <c r="A36" s="8">
        <v>33</v>
      </c>
      <c r="B36" s="8" t="s">
        <v>931</v>
      </c>
      <c r="C36" s="8" t="s">
        <v>3988</v>
      </c>
      <c r="D36" s="8" t="s">
        <v>3912</v>
      </c>
      <c r="E36" s="8" t="s">
        <v>3983</v>
      </c>
      <c r="F36" s="8" t="s">
        <v>3989</v>
      </c>
      <c r="G36" s="8" t="str">
        <f>"1357"</f>
        <v>1357</v>
      </c>
      <c r="H36" s="8" t="str">
        <f t="shared" si="2"/>
        <v>30015</v>
      </c>
      <c r="I36" s="8" t="s">
        <v>13</v>
      </c>
      <c r="J36" s="8" t="s">
        <v>927</v>
      </c>
      <c r="K36" s="8" t="s">
        <v>14</v>
      </c>
    </row>
    <row r="37" spans="1:11" ht="15" x14ac:dyDescent="0.25">
      <c r="A37" s="7">
        <v>34</v>
      </c>
      <c r="B37" s="7" t="s">
        <v>3990</v>
      </c>
      <c r="C37" s="7" t="s">
        <v>3991</v>
      </c>
      <c r="D37" s="7" t="s">
        <v>3912</v>
      </c>
      <c r="E37" s="7" t="s">
        <v>3983</v>
      </c>
      <c r="F37" s="7" t="s">
        <v>3992</v>
      </c>
      <c r="G37" s="7" t="str">
        <f>"112"</f>
        <v>112</v>
      </c>
      <c r="H37" s="7" t="str">
        <f t="shared" si="2"/>
        <v>30015</v>
      </c>
      <c r="I37" s="7" t="s">
        <v>13</v>
      </c>
      <c r="J37" s="7" t="s">
        <v>925</v>
      </c>
      <c r="K37" s="7" t="s">
        <v>3993</v>
      </c>
    </row>
    <row r="38" spans="1:11" ht="15" x14ac:dyDescent="0.25">
      <c r="A38" s="7">
        <v>35</v>
      </c>
      <c r="B38" s="7" t="s">
        <v>3994</v>
      </c>
      <c r="C38" s="7" t="s">
        <v>3995</v>
      </c>
      <c r="D38" s="7" t="s">
        <v>3912</v>
      </c>
      <c r="E38" s="7" t="s">
        <v>3983</v>
      </c>
      <c r="F38" s="7" t="s">
        <v>3984</v>
      </c>
      <c r="G38" s="7" t="str">
        <f>"41"</f>
        <v>41</v>
      </c>
      <c r="H38" s="7" t="str">
        <f t="shared" si="2"/>
        <v>30015</v>
      </c>
      <c r="I38" s="7" t="s">
        <v>13</v>
      </c>
      <c r="J38" s="7" t="s">
        <v>925</v>
      </c>
      <c r="K38" s="7" t="s">
        <v>14</v>
      </c>
    </row>
    <row r="39" spans="1:11" x14ac:dyDescent="0.3">
      <c r="A39" s="10">
        <v>36</v>
      </c>
      <c r="B39" s="10" t="s">
        <v>2288</v>
      </c>
      <c r="C39" s="10" t="s">
        <v>2536</v>
      </c>
      <c r="D39" s="10" t="s">
        <v>3912</v>
      </c>
      <c r="E39" s="10" t="s">
        <v>3983</v>
      </c>
      <c r="F39" s="10" t="s">
        <v>455</v>
      </c>
      <c r="G39" s="10" t="str">
        <f>"1389/A"</f>
        <v>1389/A</v>
      </c>
      <c r="H39" s="10" t="str">
        <f t="shared" si="2"/>
        <v>30015</v>
      </c>
      <c r="I39" s="10" t="s">
        <v>13</v>
      </c>
      <c r="J39" s="10" t="s">
        <v>926</v>
      </c>
      <c r="K39" s="10" t="s">
        <v>14</v>
      </c>
    </row>
    <row r="40" spans="1:11" x14ac:dyDescent="0.3">
      <c r="A40" s="20">
        <v>37</v>
      </c>
      <c r="B40" s="20" t="s">
        <v>3996</v>
      </c>
      <c r="C40" s="20" t="s">
        <v>3997</v>
      </c>
      <c r="D40" s="20" t="s">
        <v>3912</v>
      </c>
      <c r="E40" s="20" t="s">
        <v>3983</v>
      </c>
      <c r="F40" s="20" t="s">
        <v>3998</v>
      </c>
      <c r="G40" s="20" t="str">
        <f>"245"</f>
        <v>245</v>
      </c>
      <c r="H40" s="20" t="str">
        <f t="shared" si="2"/>
        <v>30015</v>
      </c>
      <c r="I40" s="20" t="s">
        <v>13</v>
      </c>
      <c r="J40" s="20" t="s">
        <v>928</v>
      </c>
      <c r="K40" s="20" t="s">
        <v>14</v>
      </c>
    </row>
    <row r="41" spans="1:11" x14ac:dyDescent="0.3">
      <c r="A41" s="7">
        <v>38</v>
      </c>
      <c r="B41" s="7" t="s">
        <v>3999</v>
      </c>
      <c r="C41" s="7" t="s">
        <v>4000</v>
      </c>
      <c r="D41" s="7" t="s">
        <v>3912</v>
      </c>
      <c r="E41" s="7" t="s">
        <v>3983</v>
      </c>
      <c r="F41" s="7" t="s">
        <v>4001</v>
      </c>
      <c r="G41" s="7" t="str">
        <f>"5/E"</f>
        <v>5/E</v>
      </c>
      <c r="H41" s="7" t="str">
        <f t="shared" si="2"/>
        <v>30015</v>
      </c>
      <c r="I41" s="7" t="s">
        <v>13</v>
      </c>
      <c r="J41" s="7" t="s">
        <v>925</v>
      </c>
      <c r="K41" s="7" t="s">
        <v>36</v>
      </c>
    </row>
    <row r="42" spans="1:11" x14ac:dyDescent="0.3">
      <c r="A42" s="8">
        <v>39</v>
      </c>
      <c r="B42" s="8" t="s">
        <v>4002</v>
      </c>
      <c r="C42" s="8" t="s">
        <v>4003</v>
      </c>
      <c r="D42" s="8" t="s">
        <v>3912</v>
      </c>
      <c r="E42" s="8" t="s">
        <v>3983</v>
      </c>
      <c r="F42" s="8" t="s">
        <v>4004</v>
      </c>
      <c r="G42" s="8" t="str">
        <f>"1147"</f>
        <v>1147</v>
      </c>
      <c r="H42" s="8" t="str">
        <f t="shared" si="2"/>
        <v>30015</v>
      </c>
      <c r="I42" s="8" t="s">
        <v>13</v>
      </c>
      <c r="J42" s="8" t="s">
        <v>927</v>
      </c>
      <c r="K42" s="8" t="s">
        <v>20</v>
      </c>
    </row>
    <row r="43" spans="1:11" x14ac:dyDescent="0.3">
      <c r="A43" s="7">
        <v>40</v>
      </c>
      <c r="B43" s="7" t="s">
        <v>4005</v>
      </c>
      <c r="C43" s="7" t="s">
        <v>4006</v>
      </c>
      <c r="D43" s="7" t="s">
        <v>3912</v>
      </c>
      <c r="E43" s="7" t="s">
        <v>3983</v>
      </c>
      <c r="F43" s="7" t="s">
        <v>3992</v>
      </c>
      <c r="G43" s="7" t="str">
        <f>"184"</f>
        <v>184</v>
      </c>
      <c r="H43" s="7" t="str">
        <f t="shared" si="2"/>
        <v>30015</v>
      </c>
      <c r="I43" s="7" t="s">
        <v>13</v>
      </c>
      <c r="J43" s="7" t="s">
        <v>925</v>
      </c>
      <c r="K43" s="7" t="s">
        <v>1982</v>
      </c>
    </row>
    <row r="44" spans="1:11" x14ac:dyDescent="0.3">
      <c r="A44" s="7">
        <v>41</v>
      </c>
      <c r="B44" s="7" t="s">
        <v>4007</v>
      </c>
      <c r="C44" s="7" t="s">
        <v>4008</v>
      </c>
      <c r="D44" s="7" t="s">
        <v>3912</v>
      </c>
      <c r="E44" s="7" t="s">
        <v>3983</v>
      </c>
      <c r="F44" s="7" t="s">
        <v>4009</v>
      </c>
      <c r="G44" s="7" t="str">
        <f>"26"</f>
        <v>26</v>
      </c>
      <c r="H44" s="7" t="str">
        <f t="shared" si="2"/>
        <v>30015</v>
      </c>
      <c r="I44" s="7" t="s">
        <v>13</v>
      </c>
      <c r="J44" s="7" t="s">
        <v>925</v>
      </c>
      <c r="K44" s="7" t="s">
        <v>98</v>
      </c>
    </row>
    <row r="45" spans="1:11" x14ac:dyDescent="0.3">
      <c r="A45" s="7">
        <v>42</v>
      </c>
      <c r="B45" s="7" t="s">
        <v>4010</v>
      </c>
      <c r="C45" s="7" t="s">
        <v>4011</v>
      </c>
      <c r="D45" s="7" t="s">
        <v>3912</v>
      </c>
      <c r="E45" s="7" t="s">
        <v>3983</v>
      </c>
      <c r="F45" s="7" t="s">
        <v>4012</v>
      </c>
      <c r="G45" s="7" t="str">
        <f>"56"</f>
        <v>56</v>
      </c>
      <c r="H45" s="7" t="str">
        <f t="shared" si="2"/>
        <v>30015</v>
      </c>
      <c r="I45" s="7" t="s">
        <v>13</v>
      </c>
      <c r="J45" s="7" t="s">
        <v>925</v>
      </c>
      <c r="K45" s="7" t="s">
        <v>98</v>
      </c>
    </row>
    <row r="46" spans="1:11" x14ac:dyDescent="0.3">
      <c r="A46" s="8">
        <v>43</v>
      </c>
      <c r="B46" s="8" t="s">
        <v>1626</v>
      </c>
      <c r="C46" s="8" t="s">
        <v>1712</v>
      </c>
      <c r="D46" s="8" t="s">
        <v>3912</v>
      </c>
      <c r="E46" s="8" t="s">
        <v>3983</v>
      </c>
      <c r="F46" s="8" t="s">
        <v>4013</v>
      </c>
      <c r="G46" s="8" t="str">
        <f>"508"</f>
        <v>508</v>
      </c>
      <c r="H46" s="8" t="str">
        <f t="shared" si="2"/>
        <v>30015</v>
      </c>
      <c r="I46" s="8" t="s">
        <v>13</v>
      </c>
      <c r="J46" s="8" t="s">
        <v>927</v>
      </c>
      <c r="K46" s="8" t="s">
        <v>14</v>
      </c>
    </row>
    <row r="47" spans="1:11" x14ac:dyDescent="0.3">
      <c r="A47" s="8">
        <v>44</v>
      </c>
      <c r="B47" s="8" t="s">
        <v>1626</v>
      </c>
      <c r="C47" s="8" t="s">
        <v>4014</v>
      </c>
      <c r="D47" s="8" t="s">
        <v>3912</v>
      </c>
      <c r="E47" s="8" t="s">
        <v>3983</v>
      </c>
      <c r="F47" s="8" t="s">
        <v>455</v>
      </c>
      <c r="G47" s="8" t="str">
        <f>"1233"</f>
        <v>1233</v>
      </c>
      <c r="H47" s="8" t="str">
        <f t="shared" si="2"/>
        <v>30015</v>
      </c>
      <c r="I47" s="8" t="s">
        <v>13</v>
      </c>
      <c r="J47" s="8" t="s">
        <v>927</v>
      </c>
      <c r="K47" s="8" t="s">
        <v>14</v>
      </c>
    </row>
    <row r="48" spans="1:11" x14ac:dyDescent="0.3">
      <c r="A48" s="20">
        <v>45</v>
      </c>
      <c r="B48" s="20" t="s">
        <v>4015</v>
      </c>
      <c r="C48" s="20" t="s">
        <v>4015</v>
      </c>
      <c r="D48" s="20" t="s">
        <v>3912</v>
      </c>
      <c r="E48" s="20" t="s">
        <v>3983</v>
      </c>
      <c r="F48" s="20" t="s">
        <v>4016</v>
      </c>
      <c r="G48" s="20" t="str">
        <f>"583"</f>
        <v>583</v>
      </c>
      <c r="H48" s="20" t="str">
        <f t="shared" si="2"/>
        <v>30015</v>
      </c>
      <c r="I48" s="20" t="s">
        <v>13</v>
      </c>
      <c r="J48" s="20" t="s">
        <v>928</v>
      </c>
      <c r="K48" s="20" t="s">
        <v>17</v>
      </c>
    </row>
    <row r="49" spans="1:11" x14ac:dyDescent="0.3">
      <c r="A49" s="8">
        <v>46</v>
      </c>
      <c r="B49" s="8" t="s">
        <v>4017</v>
      </c>
      <c r="C49" s="8" t="s">
        <v>4018</v>
      </c>
      <c r="D49" s="8" t="s">
        <v>3912</v>
      </c>
      <c r="E49" s="8" t="s">
        <v>3983</v>
      </c>
      <c r="F49" s="8" t="s">
        <v>4019</v>
      </c>
      <c r="G49" s="8" t="str">
        <f>"7"</f>
        <v>7</v>
      </c>
      <c r="H49" s="8" t="str">
        <f t="shared" si="2"/>
        <v>30015</v>
      </c>
      <c r="I49" s="8" t="s">
        <v>13</v>
      </c>
      <c r="J49" s="8" t="s">
        <v>927</v>
      </c>
      <c r="K49" s="8" t="s">
        <v>195</v>
      </c>
    </row>
    <row r="50" spans="1:11" x14ac:dyDescent="0.3">
      <c r="A50" s="8">
        <v>47</v>
      </c>
      <c r="B50" s="8" t="s">
        <v>4020</v>
      </c>
      <c r="C50" s="8" t="s">
        <v>4021</v>
      </c>
      <c r="D50" s="8" t="s">
        <v>3912</v>
      </c>
      <c r="E50" s="8" t="s">
        <v>3983</v>
      </c>
      <c r="F50" s="8" t="s">
        <v>3992</v>
      </c>
      <c r="G50" s="8" t="str">
        <f>"186"</f>
        <v>186</v>
      </c>
      <c r="H50" s="8" t="str">
        <f t="shared" si="2"/>
        <v>30015</v>
      </c>
      <c r="I50" s="8" t="s">
        <v>13</v>
      </c>
      <c r="J50" s="8" t="s">
        <v>927</v>
      </c>
      <c r="K50" s="8" t="s">
        <v>14</v>
      </c>
    </row>
    <row r="51" spans="1:11" x14ac:dyDescent="0.3">
      <c r="A51" s="8">
        <v>48</v>
      </c>
      <c r="B51" s="8" t="s">
        <v>4022</v>
      </c>
      <c r="C51" s="8" t="s">
        <v>4023</v>
      </c>
      <c r="D51" s="8" t="s">
        <v>3912</v>
      </c>
      <c r="E51" s="8" t="s">
        <v>3983</v>
      </c>
      <c r="F51" s="8" t="s">
        <v>4019</v>
      </c>
      <c r="G51" s="8" t="str">
        <f>"21"</f>
        <v>21</v>
      </c>
      <c r="H51" s="8" t="str">
        <f t="shared" si="2"/>
        <v>30015</v>
      </c>
      <c r="I51" s="8" t="s">
        <v>13</v>
      </c>
      <c r="J51" s="8" t="s">
        <v>927</v>
      </c>
      <c r="K51" s="8" t="s">
        <v>195</v>
      </c>
    </row>
    <row r="52" spans="1:11" x14ac:dyDescent="0.3">
      <c r="A52" s="10">
        <v>49</v>
      </c>
      <c r="B52" s="10" t="s">
        <v>959</v>
      </c>
      <c r="C52" s="10" t="s">
        <v>4024</v>
      </c>
      <c r="D52" s="10" t="s">
        <v>3912</v>
      </c>
      <c r="E52" s="10" t="s">
        <v>3983</v>
      </c>
      <c r="F52" s="10" t="s">
        <v>4013</v>
      </c>
      <c r="G52" s="10" t="str">
        <f>"508/B"</f>
        <v>508/B</v>
      </c>
      <c r="H52" s="10" t="str">
        <f t="shared" si="2"/>
        <v>30015</v>
      </c>
      <c r="I52" s="10" t="s">
        <v>13</v>
      </c>
      <c r="J52" s="10" t="s">
        <v>926</v>
      </c>
      <c r="K52" s="10" t="s">
        <v>14</v>
      </c>
    </row>
    <row r="53" spans="1:11" x14ac:dyDescent="0.3">
      <c r="A53" s="7">
        <v>50</v>
      </c>
      <c r="B53" s="7" t="s">
        <v>4025</v>
      </c>
      <c r="C53" s="7" t="s">
        <v>4026</v>
      </c>
      <c r="D53" s="7" t="s">
        <v>3912</v>
      </c>
      <c r="E53" s="7" t="s">
        <v>3983</v>
      </c>
      <c r="F53" s="7" t="s">
        <v>4027</v>
      </c>
      <c r="G53" s="7" t="str">
        <f>"41"</f>
        <v>41</v>
      </c>
      <c r="H53" s="7" t="str">
        <f t="shared" si="2"/>
        <v>30015</v>
      </c>
      <c r="I53" s="7" t="s">
        <v>13</v>
      </c>
      <c r="J53" s="7" t="s">
        <v>925</v>
      </c>
      <c r="K53" s="7" t="s">
        <v>224</v>
      </c>
    </row>
    <row r="54" spans="1:11" x14ac:dyDescent="0.3">
      <c r="A54" s="7">
        <v>51</v>
      </c>
      <c r="B54" s="7" t="s">
        <v>4028</v>
      </c>
      <c r="C54" s="7" t="s">
        <v>4029</v>
      </c>
      <c r="D54" s="7" t="s">
        <v>3912</v>
      </c>
      <c r="E54" s="7" t="s">
        <v>3983</v>
      </c>
      <c r="F54" s="7" t="s">
        <v>4030</v>
      </c>
      <c r="G54" s="7" t="str">
        <f>"1339/1340"</f>
        <v>1339/1340</v>
      </c>
      <c r="H54" s="7" t="str">
        <f t="shared" si="2"/>
        <v>30015</v>
      </c>
      <c r="I54" s="7" t="s">
        <v>13</v>
      </c>
      <c r="J54" s="7" t="s">
        <v>925</v>
      </c>
      <c r="K54" s="7" t="s">
        <v>205</v>
      </c>
    </row>
    <row r="55" spans="1:11" x14ac:dyDescent="0.3">
      <c r="A55" s="8">
        <v>52</v>
      </c>
      <c r="B55" s="8" t="s">
        <v>4031</v>
      </c>
      <c r="C55" s="8" t="s">
        <v>119</v>
      </c>
      <c r="D55" s="8" t="s">
        <v>3912</v>
      </c>
      <c r="E55" s="8" t="s">
        <v>3983</v>
      </c>
      <c r="F55" s="8" t="s">
        <v>4032</v>
      </c>
      <c r="G55" s="8" t="str">
        <f>"53"</f>
        <v>53</v>
      </c>
      <c r="H55" s="8" t="str">
        <f t="shared" si="2"/>
        <v>30015</v>
      </c>
      <c r="I55" s="8" t="s">
        <v>13</v>
      </c>
      <c r="J55" s="8" t="s">
        <v>927</v>
      </c>
      <c r="K55" s="8" t="s">
        <v>43</v>
      </c>
    </row>
    <row r="56" spans="1:11" x14ac:dyDescent="0.3">
      <c r="A56" s="8">
        <v>53</v>
      </c>
      <c r="B56" s="8" t="s">
        <v>4033</v>
      </c>
      <c r="C56" s="8" t="s">
        <v>4034</v>
      </c>
      <c r="D56" s="8" t="s">
        <v>3912</v>
      </c>
      <c r="E56" s="8" t="s">
        <v>3983</v>
      </c>
      <c r="F56" s="8" t="s">
        <v>325</v>
      </c>
      <c r="G56" s="8" t="str">
        <f>"6"</f>
        <v>6</v>
      </c>
      <c r="H56" s="8" t="str">
        <f t="shared" si="2"/>
        <v>30015</v>
      </c>
      <c r="I56" s="8" t="s">
        <v>13</v>
      </c>
      <c r="J56" s="8" t="s">
        <v>927</v>
      </c>
      <c r="K56" s="8" t="s">
        <v>224</v>
      </c>
    </row>
    <row r="57" spans="1:11" x14ac:dyDescent="0.3">
      <c r="A57" s="7">
        <v>54</v>
      </c>
      <c r="B57" s="7" t="s">
        <v>4035</v>
      </c>
      <c r="C57" s="7" t="s">
        <v>4036</v>
      </c>
      <c r="D57" s="7" t="s">
        <v>3912</v>
      </c>
      <c r="E57" s="7" t="s">
        <v>3983</v>
      </c>
      <c r="F57" s="7" t="s">
        <v>3984</v>
      </c>
      <c r="G57" s="7" t="str">
        <f>"74"</f>
        <v>74</v>
      </c>
      <c r="H57" s="7" t="str">
        <f t="shared" si="2"/>
        <v>30015</v>
      </c>
      <c r="I57" s="7" t="s">
        <v>13</v>
      </c>
      <c r="J57" s="7" t="s">
        <v>925</v>
      </c>
      <c r="K57" s="7" t="s">
        <v>125</v>
      </c>
    </row>
    <row r="58" spans="1:11" x14ac:dyDescent="0.3">
      <c r="A58" s="20">
        <v>55</v>
      </c>
      <c r="B58" s="20" t="s">
        <v>4037</v>
      </c>
      <c r="C58" s="20" t="s">
        <v>4038</v>
      </c>
      <c r="D58" s="20" t="s">
        <v>3912</v>
      </c>
      <c r="E58" s="20" t="s">
        <v>3983</v>
      </c>
      <c r="F58" s="20" t="s">
        <v>4039</v>
      </c>
      <c r="G58" s="20" t="str">
        <f>"134"</f>
        <v>134</v>
      </c>
      <c r="H58" s="20" t="str">
        <f t="shared" si="2"/>
        <v>30015</v>
      </c>
      <c r="I58" s="20" t="s">
        <v>13</v>
      </c>
      <c r="J58" s="20" t="s">
        <v>928</v>
      </c>
      <c r="K58" s="20" t="s">
        <v>2924</v>
      </c>
    </row>
    <row r="59" spans="1:11" x14ac:dyDescent="0.3">
      <c r="A59" s="7">
        <v>56</v>
      </c>
      <c r="B59" s="7" t="s">
        <v>4040</v>
      </c>
      <c r="C59" s="7" t="s">
        <v>4041</v>
      </c>
      <c r="D59" s="7" t="s">
        <v>3912</v>
      </c>
      <c r="E59" s="7" t="s">
        <v>3983</v>
      </c>
      <c r="F59" s="7" t="s">
        <v>4016</v>
      </c>
      <c r="G59" s="7" t="str">
        <f>"1135"</f>
        <v>1135</v>
      </c>
      <c r="H59" s="7" t="str">
        <f t="shared" si="2"/>
        <v>30015</v>
      </c>
      <c r="I59" s="7" t="s">
        <v>13</v>
      </c>
      <c r="J59" s="7" t="s">
        <v>925</v>
      </c>
      <c r="K59" s="7" t="s">
        <v>36</v>
      </c>
    </row>
    <row r="60" spans="1:11" x14ac:dyDescent="0.3">
      <c r="A60" s="8">
        <v>57</v>
      </c>
      <c r="B60" s="8" t="s">
        <v>2273</v>
      </c>
      <c r="C60" s="8" t="s">
        <v>4042</v>
      </c>
      <c r="D60" s="8" t="s">
        <v>3912</v>
      </c>
      <c r="E60" s="8" t="s">
        <v>3983</v>
      </c>
      <c r="F60" s="8" t="s">
        <v>4043</v>
      </c>
      <c r="G60" s="8" t="str">
        <f>"35"</f>
        <v>35</v>
      </c>
      <c r="H60" s="8" t="str">
        <f t="shared" si="2"/>
        <v>30015</v>
      </c>
      <c r="I60" s="8" t="s">
        <v>13</v>
      </c>
      <c r="J60" s="8" t="s">
        <v>927</v>
      </c>
      <c r="K60" s="8" t="s">
        <v>14</v>
      </c>
    </row>
    <row r="61" spans="1:11" x14ac:dyDescent="0.3">
      <c r="A61" s="8">
        <v>58</v>
      </c>
      <c r="B61" s="8" t="s">
        <v>4044</v>
      </c>
      <c r="C61" s="8" t="s">
        <v>4045</v>
      </c>
      <c r="D61" s="8" t="s">
        <v>3912</v>
      </c>
      <c r="E61" s="8" t="s">
        <v>3983</v>
      </c>
      <c r="F61" s="8" t="s">
        <v>4032</v>
      </c>
      <c r="G61" s="8" t="str">
        <f>"17"</f>
        <v>17</v>
      </c>
      <c r="H61" s="8" t="str">
        <f t="shared" si="2"/>
        <v>30015</v>
      </c>
      <c r="I61" s="8" t="s">
        <v>13</v>
      </c>
      <c r="J61" s="8" t="s">
        <v>927</v>
      </c>
      <c r="K61" s="8" t="s">
        <v>195</v>
      </c>
    </row>
    <row r="62" spans="1:11" x14ac:dyDescent="0.3">
      <c r="A62" s="8">
        <v>59</v>
      </c>
      <c r="B62" s="8" t="s">
        <v>4046</v>
      </c>
      <c r="C62" s="8" t="s">
        <v>4047</v>
      </c>
      <c r="D62" s="8" t="s">
        <v>3912</v>
      </c>
      <c r="E62" s="8" t="s">
        <v>3983</v>
      </c>
      <c r="F62" s="8" t="s">
        <v>4048</v>
      </c>
      <c r="G62" s="8" t="str">
        <f>"2/B"</f>
        <v>2/B</v>
      </c>
      <c r="H62" s="8" t="str">
        <f t="shared" si="2"/>
        <v>30015</v>
      </c>
      <c r="I62" s="8" t="s">
        <v>13</v>
      </c>
      <c r="J62" s="8" t="s">
        <v>927</v>
      </c>
      <c r="K62" s="8" t="s">
        <v>241</v>
      </c>
    </row>
    <row r="63" spans="1:11" x14ac:dyDescent="0.3">
      <c r="A63" s="10">
        <v>60</v>
      </c>
      <c r="B63" s="10" t="s">
        <v>4049</v>
      </c>
      <c r="C63" s="10" t="s">
        <v>4050</v>
      </c>
      <c r="D63" s="10" t="s">
        <v>3912</v>
      </c>
      <c r="E63" s="10" t="s">
        <v>3983</v>
      </c>
      <c r="F63" s="10" t="s">
        <v>4051</v>
      </c>
      <c r="G63" s="10" t="str">
        <f>"32"</f>
        <v>32</v>
      </c>
      <c r="H63" s="10" t="str">
        <f t="shared" si="2"/>
        <v>30015</v>
      </c>
      <c r="I63" s="10" t="s">
        <v>13</v>
      </c>
      <c r="J63" s="10" t="s">
        <v>926</v>
      </c>
      <c r="K63" s="10" t="s">
        <v>20</v>
      </c>
    </row>
    <row r="64" spans="1:11" x14ac:dyDescent="0.3">
      <c r="A64" s="8">
        <v>61</v>
      </c>
      <c r="B64" s="8" t="s">
        <v>931</v>
      </c>
      <c r="C64" s="8" t="s">
        <v>9</v>
      </c>
      <c r="D64" s="8" t="s">
        <v>3912</v>
      </c>
      <c r="E64" s="8" t="s">
        <v>4052</v>
      </c>
      <c r="F64" s="8" t="s">
        <v>4053</v>
      </c>
      <c r="G64" s="8" t="str">
        <f>"14-20"</f>
        <v>14-20</v>
      </c>
      <c r="H64" s="8" t="str">
        <f>"30023"</f>
        <v>30023</v>
      </c>
      <c r="I64" s="8" t="s">
        <v>13</v>
      </c>
      <c r="J64" s="8" t="s">
        <v>927</v>
      </c>
      <c r="K64" s="8" t="s">
        <v>14</v>
      </c>
    </row>
    <row r="65" spans="1:11" x14ac:dyDescent="0.3">
      <c r="A65" s="8">
        <v>62</v>
      </c>
      <c r="B65" s="8" t="s">
        <v>2764</v>
      </c>
      <c r="C65" s="8" t="s">
        <v>1712</v>
      </c>
      <c r="D65" s="8" t="s">
        <v>3912</v>
      </c>
      <c r="E65" s="8" t="s">
        <v>4052</v>
      </c>
      <c r="F65" s="8" t="s">
        <v>4054</v>
      </c>
      <c r="G65" s="8" t="str">
        <f>"60"</f>
        <v>60</v>
      </c>
      <c r="H65" s="8" t="str">
        <f>"30023"</f>
        <v>30023</v>
      </c>
      <c r="I65" s="8" t="s">
        <v>13</v>
      </c>
      <c r="J65" s="8" t="s">
        <v>927</v>
      </c>
      <c r="K65" s="8" t="s">
        <v>195</v>
      </c>
    </row>
    <row r="66" spans="1:11" x14ac:dyDescent="0.3">
      <c r="A66" s="7">
        <v>63</v>
      </c>
      <c r="B66" s="7" t="s">
        <v>4055</v>
      </c>
      <c r="C66" s="7" t="s">
        <v>4056</v>
      </c>
      <c r="D66" s="7" t="s">
        <v>3912</v>
      </c>
      <c r="E66" s="7" t="s">
        <v>4052</v>
      </c>
      <c r="F66" s="7" t="s">
        <v>2552</v>
      </c>
      <c r="G66" s="7" t="str">
        <f>"54"</f>
        <v>54</v>
      </c>
      <c r="H66" s="7" t="str">
        <f>"30023"</f>
        <v>30023</v>
      </c>
      <c r="I66" s="7" t="s">
        <v>13</v>
      </c>
      <c r="J66" s="7" t="s">
        <v>925</v>
      </c>
      <c r="K66" s="7" t="s">
        <v>36</v>
      </c>
    </row>
    <row r="67" spans="1:11" x14ac:dyDescent="0.3">
      <c r="A67" s="20">
        <v>64</v>
      </c>
      <c r="B67" s="20" t="s">
        <v>4057</v>
      </c>
      <c r="C67" s="20" t="s">
        <v>4058</v>
      </c>
      <c r="D67" s="20" t="s">
        <v>3912</v>
      </c>
      <c r="E67" s="20" t="s">
        <v>4059</v>
      </c>
      <c r="F67" s="20" t="s">
        <v>4060</v>
      </c>
      <c r="G67" s="20" t="str">
        <f>"27"</f>
        <v>27</v>
      </c>
      <c r="H67" s="20" t="str">
        <f>"30031"</f>
        <v>30031</v>
      </c>
      <c r="I67" s="20" t="s">
        <v>13</v>
      </c>
      <c r="J67" s="20" t="s">
        <v>928</v>
      </c>
      <c r="K67" s="20" t="s">
        <v>58</v>
      </c>
    </row>
    <row r="68" spans="1:11" x14ac:dyDescent="0.3">
      <c r="A68" s="7">
        <v>65</v>
      </c>
      <c r="B68" s="7" t="s">
        <v>4061</v>
      </c>
      <c r="C68" s="7" t="s">
        <v>4062</v>
      </c>
      <c r="D68" s="7" t="s">
        <v>3912</v>
      </c>
      <c r="E68" s="7" t="s">
        <v>4059</v>
      </c>
      <c r="F68" s="7" t="s">
        <v>4063</v>
      </c>
      <c r="G68" s="7" t="str">
        <f>"3"</f>
        <v>3</v>
      </c>
      <c r="H68" s="7" t="str">
        <f>"30031"</f>
        <v>30031</v>
      </c>
      <c r="I68" s="7" t="s">
        <v>13</v>
      </c>
      <c r="J68" s="7" t="s">
        <v>925</v>
      </c>
      <c r="K68" s="7" t="s">
        <v>27</v>
      </c>
    </row>
    <row r="69" spans="1:11" x14ac:dyDescent="0.3">
      <c r="A69" s="10">
        <v>66</v>
      </c>
      <c r="B69" s="10" t="s">
        <v>4064</v>
      </c>
      <c r="C69" s="10" t="s">
        <v>4065</v>
      </c>
      <c r="D69" s="10" t="s">
        <v>3912</v>
      </c>
      <c r="E69" s="10" t="s">
        <v>4059</v>
      </c>
      <c r="F69" s="10" t="s">
        <v>1659</v>
      </c>
      <c r="G69" s="10" t="str">
        <f>"42"</f>
        <v>42</v>
      </c>
      <c r="H69" s="10" t="str">
        <f>"30031"</f>
        <v>30031</v>
      </c>
      <c r="I69" s="10" t="s">
        <v>13</v>
      </c>
      <c r="J69" s="10" t="s">
        <v>926</v>
      </c>
      <c r="K69" s="10" t="s">
        <v>254</v>
      </c>
    </row>
    <row r="70" spans="1:11" x14ac:dyDescent="0.3">
      <c r="A70" s="20">
        <v>67</v>
      </c>
      <c r="B70" s="20" t="s">
        <v>4066</v>
      </c>
      <c r="C70" s="20" t="s">
        <v>4067</v>
      </c>
      <c r="D70" s="20" t="s">
        <v>3912</v>
      </c>
      <c r="E70" s="20" t="s">
        <v>4059</v>
      </c>
      <c r="F70" s="20" t="s">
        <v>4068</v>
      </c>
      <c r="G70" s="20" t="str">
        <f>"33"</f>
        <v>33</v>
      </c>
      <c r="H70" s="20" t="str">
        <f>"30031"</f>
        <v>30031</v>
      </c>
      <c r="I70" s="20" t="s">
        <v>13</v>
      </c>
      <c r="J70" s="20" t="s">
        <v>928</v>
      </c>
      <c r="K70" s="20" t="s">
        <v>241</v>
      </c>
    </row>
    <row r="71" spans="1:11" x14ac:dyDescent="0.3">
      <c r="A71" s="7">
        <v>68</v>
      </c>
      <c r="B71" s="7" t="s">
        <v>4069</v>
      </c>
      <c r="C71" s="7" t="s">
        <v>4070</v>
      </c>
      <c r="D71" s="7" t="s">
        <v>3912</v>
      </c>
      <c r="E71" s="7" t="s">
        <v>4071</v>
      </c>
      <c r="F71" s="7" t="s">
        <v>4072</v>
      </c>
      <c r="G71" s="7" t="str">
        <f>"8"</f>
        <v>8</v>
      </c>
      <c r="H71" s="7" t="str">
        <f>"30020"</f>
        <v>30020</v>
      </c>
      <c r="I71" s="7" t="s">
        <v>13</v>
      </c>
      <c r="J71" s="7" t="s">
        <v>925</v>
      </c>
      <c r="K71" s="7" t="s">
        <v>58</v>
      </c>
    </row>
    <row r="72" spans="1:11" x14ac:dyDescent="0.3">
      <c r="A72" s="7">
        <v>69</v>
      </c>
      <c r="B72" s="7" t="s">
        <v>4073</v>
      </c>
      <c r="C72" s="7" t="s">
        <v>4074</v>
      </c>
      <c r="D72" s="7" t="s">
        <v>3912</v>
      </c>
      <c r="E72" s="7" t="s">
        <v>4071</v>
      </c>
      <c r="F72" s="7" t="s">
        <v>260</v>
      </c>
      <c r="G72" s="7" t="str">
        <f>"4"</f>
        <v>4</v>
      </c>
      <c r="H72" s="7" t="str">
        <f>"30020"</f>
        <v>30020</v>
      </c>
      <c r="I72" s="7" t="s">
        <v>13</v>
      </c>
      <c r="J72" s="7" t="s">
        <v>925</v>
      </c>
      <c r="K72" s="7" t="s">
        <v>125</v>
      </c>
    </row>
    <row r="73" spans="1:11" x14ac:dyDescent="0.3">
      <c r="A73" s="8">
        <v>70</v>
      </c>
      <c r="B73" s="8" t="s">
        <v>4075</v>
      </c>
      <c r="C73" s="8" t="s">
        <v>4076</v>
      </c>
      <c r="D73" s="8" t="s">
        <v>3912</v>
      </c>
      <c r="E73" s="8" t="s">
        <v>4071</v>
      </c>
      <c r="F73" s="8" t="s">
        <v>4077</v>
      </c>
      <c r="G73" s="8" t="str">
        <f>"2"</f>
        <v>2</v>
      </c>
      <c r="H73" s="8" t="str">
        <f>"30020"</f>
        <v>30020</v>
      </c>
      <c r="I73" s="8" t="s">
        <v>13</v>
      </c>
      <c r="J73" s="8" t="s">
        <v>927</v>
      </c>
      <c r="K73" s="8" t="s">
        <v>20</v>
      </c>
    </row>
    <row r="74" spans="1:11" x14ac:dyDescent="0.3">
      <c r="A74" s="8">
        <v>71</v>
      </c>
      <c r="B74" s="8" t="s">
        <v>931</v>
      </c>
      <c r="C74" s="8" t="s">
        <v>9</v>
      </c>
      <c r="D74" s="8" t="s">
        <v>3912</v>
      </c>
      <c r="E74" s="8" t="s">
        <v>4078</v>
      </c>
      <c r="F74" s="8" t="s">
        <v>4079</v>
      </c>
      <c r="G74" s="8" t="str">
        <f>"2"</f>
        <v>2</v>
      </c>
      <c r="H74" s="8" t="str">
        <f>"30032"</f>
        <v>30032</v>
      </c>
      <c r="I74" s="8" t="s">
        <v>13</v>
      </c>
      <c r="J74" s="8" t="s">
        <v>927</v>
      </c>
      <c r="K74" s="8" t="s">
        <v>14</v>
      </c>
    </row>
    <row r="75" spans="1:11" x14ac:dyDescent="0.3">
      <c r="A75" s="7">
        <v>72</v>
      </c>
      <c r="B75" s="7" t="s">
        <v>4080</v>
      </c>
      <c r="C75" s="7" t="s">
        <v>108</v>
      </c>
      <c r="D75" s="7" t="s">
        <v>3912</v>
      </c>
      <c r="E75" s="7" t="s">
        <v>4081</v>
      </c>
      <c r="F75" s="7" t="s">
        <v>4082</v>
      </c>
      <c r="G75" s="7" t="str">
        <f>"7"</f>
        <v>7</v>
      </c>
      <c r="H75" s="7" t="str">
        <f t="shared" ref="H75:H80" si="3">"30025"</f>
        <v>30025</v>
      </c>
      <c r="I75" s="7" t="s">
        <v>13</v>
      </c>
      <c r="J75" s="7" t="s">
        <v>925</v>
      </c>
      <c r="K75" s="7" t="s">
        <v>139</v>
      </c>
    </row>
    <row r="76" spans="1:11" x14ac:dyDescent="0.3">
      <c r="A76" s="7">
        <v>73</v>
      </c>
      <c r="B76" s="7" t="s">
        <v>4083</v>
      </c>
      <c r="C76" s="7" t="s">
        <v>3722</v>
      </c>
      <c r="D76" s="7" t="s">
        <v>3912</v>
      </c>
      <c r="E76" s="7" t="s">
        <v>4081</v>
      </c>
      <c r="F76" s="7" t="s">
        <v>3584</v>
      </c>
      <c r="G76" s="7" t="str">
        <f>"67"</f>
        <v>67</v>
      </c>
      <c r="H76" s="7" t="str">
        <f t="shared" si="3"/>
        <v>30025</v>
      </c>
      <c r="I76" s="7" t="s">
        <v>13</v>
      </c>
      <c r="J76" s="7" t="s">
        <v>925</v>
      </c>
      <c r="K76" s="7" t="s">
        <v>20</v>
      </c>
    </row>
    <row r="77" spans="1:11" x14ac:dyDescent="0.3">
      <c r="A77" s="10">
        <v>74</v>
      </c>
      <c r="B77" s="10" t="s">
        <v>4084</v>
      </c>
      <c r="C77" s="10" t="s">
        <v>4085</v>
      </c>
      <c r="D77" s="10" t="s">
        <v>3912</v>
      </c>
      <c r="E77" s="10" t="s">
        <v>4081</v>
      </c>
      <c r="F77" s="10" t="s">
        <v>4086</v>
      </c>
      <c r="G77" s="10" t="str">
        <f>"21"</f>
        <v>21</v>
      </c>
      <c r="H77" s="10" t="str">
        <f t="shared" si="3"/>
        <v>30025</v>
      </c>
      <c r="I77" s="10" t="s">
        <v>13</v>
      </c>
      <c r="J77" s="10" t="s">
        <v>926</v>
      </c>
      <c r="K77" s="10" t="s">
        <v>43</v>
      </c>
    </row>
    <row r="78" spans="1:11" x14ac:dyDescent="0.3">
      <c r="A78" s="10">
        <v>75</v>
      </c>
      <c r="B78" s="10" t="s">
        <v>4087</v>
      </c>
      <c r="C78" s="10" t="s">
        <v>4088</v>
      </c>
      <c r="D78" s="10" t="s">
        <v>3912</v>
      </c>
      <c r="E78" s="10" t="s">
        <v>4081</v>
      </c>
      <c r="F78" s="10" t="s">
        <v>2670</v>
      </c>
      <c r="G78" s="10" t="str">
        <f>"2"</f>
        <v>2</v>
      </c>
      <c r="H78" s="10" t="str">
        <f t="shared" si="3"/>
        <v>30025</v>
      </c>
      <c r="I78" s="10" t="s">
        <v>13</v>
      </c>
      <c r="J78" s="10" t="s">
        <v>926</v>
      </c>
      <c r="K78" s="10" t="s">
        <v>43</v>
      </c>
    </row>
    <row r="79" spans="1:11" x14ac:dyDescent="0.3">
      <c r="A79" s="10">
        <v>76</v>
      </c>
      <c r="B79" s="10" t="s">
        <v>4089</v>
      </c>
      <c r="C79" s="10" t="s">
        <v>4090</v>
      </c>
      <c r="D79" s="10" t="s">
        <v>3912</v>
      </c>
      <c r="E79" s="10" t="s">
        <v>4081</v>
      </c>
      <c r="F79" s="10" t="s">
        <v>4091</v>
      </c>
      <c r="G79" s="10" t="str">
        <f>"12"</f>
        <v>12</v>
      </c>
      <c r="H79" s="10" t="str">
        <f t="shared" si="3"/>
        <v>30025</v>
      </c>
      <c r="I79" s="10" t="s">
        <v>13</v>
      </c>
      <c r="J79" s="10" t="s">
        <v>926</v>
      </c>
      <c r="K79" s="10" t="s">
        <v>20</v>
      </c>
    </row>
    <row r="80" spans="1:11" x14ac:dyDescent="0.3">
      <c r="A80" s="7">
        <v>77</v>
      </c>
      <c r="B80" s="7" t="s">
        <v>4092</v>
      </c>
      <c r="C80" s="7" t="s">
        <v>4093</v>
      </c>
      <c r="D80" s="7" t="s">
        <v>3912</v>
      </c>
      <c r="E80" s="7" t="s">
        <v>4081</v>
      </c>
      <c r="F80" s="7" t="s">
        <v>4094</v>
      </c>
      <c r="G80" s="7" t="str">
        <f>"2"</f>
        <v>2</v>
      </c>
      <c r="H80" s="7" t="str">
        <f t="shared" si="3"/>
        <v>30025</v>
      </c>
      <c r="I80" s="7" t="s">
        <v>13</v>
      </c>
      <c r="J80" s="7" t="s">
        <v>925</v>
      </c>
      <c r="K80" s="7" t="s">
        <v>4095</v>
      </c>
    </row>
    <row r="81" spans="1:11" x14ac:dyDescent="0.3">
      <c r="A81" s="7">
        <v>78</v>
      </c>
      <c r="B81" s="7" t="s">
        <v>4096</v>
      </c>
      <c r="C81" s="7" t="s">
        <v>4097</v>
      </c>
      <c r="D81" s="7" t="s">
        <v>3912</v>
      </c>
      <c r="E81" s="7" t="s">
        <v>4098</v>
      </c>
      <c r="F81" s="7" t="s">
        <v>4099</v>
      </c>
      <c r="G81" s="7" t="str">
        <f>"1"</f>
        <v>1</v>
      </c>
      <c r="H81" s="7" t="str">
        <f>"30030"</f>
        <v>30030</v>
      </c>
      <c r="I81" s="7" t="s">
        <v>13</v>
      </c>
      <c r="J81" s="7" t="s">
        <v>925</v>
      </c>
      <c r="K81" s="7" t="s">
        <v>4100</v>
      </c>
    </row>
    <row r="82" spans="1:11" x14ac:dyDescent="0.3">
      <c r="A82" s="10">
        <v>79</v>
      </c>
      <c r="B82" s="10" t="s">
        <v>4101</v>
      </c>
      <c r="C82" s="10" t="s">
        <v>4102</v>
      </c>
      <c r="D82" s="10" t="s">
        <v>3912</v>
      </c>
      <c r="E82" s="10" t="s">
        <v>4098</v>
      </c>
      <c r="F82" s="10" t="s">
        <v>4103</v>
      </c>
      <c r="G82" s="10" t="str">
        <f>"19"</f>
        <v>19</v>
      </c>
      <c r="H82" s="10" t="str">
        <f>"30030"</f>
        <v>30030</v>
      </c>
      <c r="I82" s="10" t="s">
        <v>13</v>
      </c>
      <c r="J82" s="10" t="s">
        <v>926</v>
      </c>
      <c r="K82" s="10" t="s">
        <v>58</v>
      </c>
    </row>
    <row r="83" spans="1:11" x14ac:dyDescent="0.3">
      <c r="A83" s="8">
        <v>80</v>
      </c>
      <c r="B83" s="8" t="s">
        <v>4104</v>
      </c>
      <c r="C83" s="8" t="s">
        <v>4105</v>
      </c>
      <c r="D83" s="8" t="s">
        <v>3912</v>
      </c>
      <c r="E83" s="8" t="s">
        <v>4106</v>
      </c>
      <c r="F83" s="8" t="s">
        <v>1895</v>
      </c>
      <c r="G83" s="8" t="str">
        <f>"68"</f>
        <v>68</v>
      </c>
      <c r="H83" s="8" t="str">
        <f>"30020"</f>
        <v>30020</v>
      </c>
      <c r="I83" s="8" t="s">
        <v>13</v>
      </c>
      <c r="J83" s="8" t="s">
        <v>927</v>
      </c>
      <c r="K83" s="8" t="s">
        <v>14</v>
      </c>
    </row>
    <row r="84" spans="1:11" x14ac:dyDescent="0.3">
      <c r="A84" s="7">
        <v>81</v>
      </c>
      <c r="B84" s="7" t="s">
        <v>4107</v>
      </c>
      <c r="C84" s="7" t="s">
        <v>4108</v>
      </c>
      <c r="D84" s="7" t="s">
        <v>3912</v>
      </c>
      <c r="E84" s="7" t="s">
        <v>4109</v>
      </c>
      <c r="F84" s="7" t="s">
        <v>4110</v>
      </c>
      <c r="G84" s="7" t="str">
        <f>"90/1"</f>
        <v>90/1</v>
      </c>
      <c r="H84" s="7" t="str">
        <f t="shared" ref="H84:H96" si="4">"30016"</f>
        <v>30016</v>
      </c>
      <c r="I84" s="7" t="s">
        <v>13</v>
      </c>
      <c r="J84" s="7" t="s">
        <v>925</v>
      </c>
      <c r="K84" s="7" t="s">
        <v>43</v>
      </c>
    </row>
    <row r="85" spans="1:11" x14ac:dyDescent="0.3">
      <c r="A85" s="10">
        <v>82</v>
      </c>
      <c r="B85" s="10" t="s">
        <v>4111</v>
      </c>
      <c r="C85" s="10" t="s">
        <v>4112</v>
      </c>
      <c r="D85" s="10" t="s">
        <v>3912</v>
      </c>
      <c r="E85" s="10" t="s">
        <v>4109</v>
      </c>
      <c r="F85" s="10" t="s">
        <v>4113</v>
      </c>
      <c r="G85" s="10" t="str">
        <f>"15/A"</f>
        <v>15/A</v>
      </c>
      <c r="H85" s="10" t="str">
        <f t="shared" si="4"/>
        <v>30016</v>
      </c>
      <c r="I85" s="10" t="s">
        <v>13</v>
      </c>
      <c r="J85" s="10" t="s">
        <v>926</v>
      </c>
      <c r="K85" s="10" t="s">
        <v>43</v>
      </c>
    </row>
    <row r="86" spans="1:11" x14ac:dyDescent="0.3">
      <c r="A86" s="10">
        <v>83</v>
      </c>
      <c r="B86" s="10" t="s">
        <v>4114</v>
      </c>
      <c r="C86" s="10" t="s">
        <v>4114</v>
      </c>
      <c r="D86" s="10" t="s">
        <v>3912</v>
      </c>
      <c r="E86" s="10" t="s">
        <v>4109</v>
      </c>
      <c r="F86" s="10" t="s">
        <v>4115</v>
      </c>
      <c r="G86" s="10" t="str">
        <f>"13/A"</f>
        <v>13/A</v>
      </c>
      <c r="H86" s="10" t="str">
        <f t="shared" si="4"/>
        <v>30016</v>
      </c>
      <c r="I86" s="10" t="s">
        <v>13</v>
      </c>
      <c r="J86" s="10" t="s">
        <v>926</v>
      </c>
      <c r="K86" s="10" t="s">
        <v>14</v>
      </c>
    </row>
    <row r="87" spans="1:11" x14ac:dyDescent="0.3">
      <c r="A87" s="8">
        <v>84</v>
      </c>
      <c r="B87" s="8" t="s">
        <v>2764</v>
      </c>
      <c r="C87" s="8" t="s">
        <v>1712</v>
      </c>
      <c r="D87" s="8" t="s">
        <v>3912</v>
      </c>
      <c r="E87" s="8" t="s">
        <v>4109</v>
      </c>
      <c r="F87" s="8" t="s">
        <v>4116</v>
      </c>
      <c r="G87" s="8" t="str">
        <f>"1"</f>
        <v>1</v>
      </c>
      <c r="H87" s="8" t="str">
        <f t="shared" si="4"/>
        <v>30016</v>
      </c>
      <c r="I87" s="8" t="s">
        <v>13</v>
      </c>
      <c r="J87" s="8" t="s">
        <v>927</v>
      </c>
      <c r="K87" s="8" t="s">
        <v>14</v>
      </c>
    </row>
    <row r="88" spans="1:11" x14ac:dyDescent="0.3">
      <c r="A88" s="7">
        <v>85</v>
      </c>
      <c r="B88" s="7" t="s">
        <v>4117</v>
      </c>
      <c r="C88" s="7" t="s">
        <v>4118</v>
      </c>
      <c r="D88" s="7" t="s">
        <v>3912</v>
      </c>
      <c r="E88" s="7" t="s">
        <v>4109</v>
      </c>
      <c r="F88" s="7" t="s">
        <v>4119</v>
      </c>
      <c r="G88" s="7" t="str">
        <f>"20"</f>
        <v>20</v>
      </c>
      <c r="H88" s="7" t="str">
        <f t="shared" si="4"/>
        <v>30016</v>
      </c>
      <c r="I88" s="7" t="s">
        <v>13</v>
      </c>
      <c r="J88" s="7" t="s">
        <v>925</v>
      </c>
      <c r="K88" s="7" t="s">
        <v>36</v>
      </c>
    </row>
    <row r="89" spans="1:11" x14ac:dyDescent="0.3">
      <c r="A89" s="7">
        <v>86</v>
      </c>
      <c r="B89" s="7" t="s">
        <v>4120</v>
      </c>
      <c r="C89" s="7" t="s">
        <v>4121</v>
      </c>
      <c r="D89" s="7" t="s">
        <v>3912</v>
      </c>
      <c r="E89" s="7" t="s">
        <v>4109</v>
      </c>
      <c r="F89" s="7" t="s">
        <v>4122</v>
      </c>
      <c r="G89" s="7" t="str">
        <f>"419"</f>
        <v>419</v>
      </c>
      <c r="H89" s="7" t="str">
        <f t="shared" si="4"/>
        <v>30016</v>
      </c>
      <c r="I89" s="7" t="s">
        <v>13</v>
      </c>
      <c r="J89" s="7" t="s">
        <v>925</v>
      </c>
      <c r="K89" s="7" t="s">
        <v>205</v>
      </c>
    </row>
    <row r="90" spans="1:11" x14ac:dyDescent="0.3">
      <c r="A90" s="8">
        <v>87</v>
      </c>
      <c r="B90" s="8" t="s">
        <v>1010</v>
      </c>
      <c r="C90" s="8" t="s">
        <v>110</v>
      </c>
      <c r="D90" s="8" t="s">
        <v>3912</v>
      </c>
      <c r="E90" s="8" t="s">
        <v>4109</v>
      </c>
      <c r="F90" s="8" t="s">
        <v>4123</v>
      </c>
      <c r="G90" s="8" t="str">
        <f>"1"</f>
        <v>1</v>
      </c>
      <c r="H90" s="8" t="str">
        <f t="shared" si="4"/>
        <v>30016</v>
      </c>
      <c r="I90" s="8" t="s">
        <v>13</v>
      </c>
      <c r="J90" s="8" t="s">
        <v>927</v>
      </c>
      <c r="K90" s="8" t="s">
        <v>14</v>
      </c>
    </row>
    <row r="91" spans="1:11" x14ac:dyDescent="0.3">
      <c r="A91" s="10">
        <v>88</v>
      </c>
      <c r="B91" s="10" t="s">
        <v>4124</v>
      </c>
      <c r="C91" s="10" t="s">
        <v>4125</v>
      </c>
      <c r="D91" s="10" t="s">
        <v>3912</v>
      </c>
      <c r="E91" s="10" t="s">
        <v>4109</v>
      </c>
      <c r="F91" s="10" t="s">
        <v>53</v>
      </c>
      <c r="G91" s="10" t="str">
        <f>"89/A"</f>
        <v>89/A</v>
      </c>
      <c r="H91" s="10" t="str">
        <f t="shared" si="4"/>
        <v>30016</v>
      </c>
      <c r="I91" s="10" t="s">
        <v>13</v>
      </c>
      <c r="J91" s="10" t="s">
        <v>926</v>
      </c>
      <c r="K91" s="10" t="s">
        <v>20</v>
      </c>
    </row>
    <row r="92" spans="1:11" x14ac:dyDescent="0.3">
      <c r="A92" s="7">
        <v>89</v>
      </c>
      <c r="B92" s="7" t="s">
        <v>4126</v>
      </c>
      <c r="C92" s="7" t="s">
        <v>4127</v>
      </c>
      <c r="D92" s="7" t="s">
        <v>3912</v>
      </c>
      <c r="E92" s="7" t="s">
        <v>4109</v>
      </c>
      <c r="F92" s="7" t="s">
        <v>2108</v>
      </c>
      <c r="G92" s="7" t="str">
        <f>"121"</f>
        <v>121</v>
      </c>
      <c r="H92" s="7" t="str">
        <f t="shared" si="4"/>
        <v>30016</v>
      </c>
      <c r="I92" s="7" t="s">
        <v>13</v>
      </c>
      <c r="J92" s="7" t="s">
        <v>925</v>
      </c>
      <c r="K92" s="7" t="s">
        <v>58</v>
      </c>
    </row>
    <row r="93" spans="1:11" x14ac:dyDescent="0.3">
      <c r="A93" s="7">
        <v>90</v>
      </c>
      <c r="B93" s="7" t="s">
        <v>4128</v>
      </c>
      <c r="C93" s="7" t="s">
        <v>4129</v>
      </c>
      <c r="D93" s="7" t="s">
        <v>3912</v>
      </c>
      <c r="E93" s="7" t="s">
        <v>4109</v>
      </c>
      <c r="F93" s="7" t="s">
        <v>4122</v>
      </c>
      <c r="G93" s="7" t="str">
        <f>"213/A"</f>
        <v>213/A</v>
      </c>
      <c r="H93" s="7" t="str">
        <f t="shared" si="4"/>
        <v>30016</v>
      </c>
      <c r="I93" s="7" t="s">
        <v>13</v>
      </c>
      <c r="J93" s="7" t="s">
        <v>925</v>
      </c>
      <c r="K93" s="7" t="s">
        <v>43</v>
      </c>
    </row>
    <row r="94" spans="1:11" x14ac:dyDescent="0.3">
      <c r="A94" s="7">
        <v>91</v>
      </c>
      <c r="B94" s="7" t="s">
        <v>1498</v>
      </c>
      <c r="C94" s="7" t="s">
        <v>4130</v>
      </c>
      <c r="D94" s="7" t="s">
        <v>3912</v>
      </c>
      <c r="E94" s="7" t="s">
        <v>4109</v>
      </c>
      <c r="F94" s="7" t="s">
        <v>4131</v>
      </c>
      <c r="G94" s="7" t="str">
        <f>"2"</f>
        <v>2</v>
      </c>
      <c r="H94" s="7" t="str">
        <f t="shared" si="4"/>
        <v>30016</v>
      </c>
      <c r="I94" s="7" t="s">
        <v>13</v>
      </c>
      <c r="J94" s="7" t="s">
        <v>925</v>
      </c>
      <c r="K94" s="7" t="s">
        <v>14</v>
      </c>
    </row>
    <row r="95" spans="1:11" x14ac:dyDescent="0.3">
      <c r="A95" s="10">
        <v>92</v>
      </c>
      <c r="B95" s="10" t="s">
        <v>4132</v>
      </c>
      <c r="C95" s="10" t="s">
        <v>4133</v>
      </c>
      <c r="D95" s="10" t="s">
        <v>3912</v>
      </c>
      <c r="E95" s="10" t="s">
        <v>4109</v>
      </c>
      <c r="F95" s="10" t="s">
        <v>53</v>
      </c>
      <c r="G95" s="10" t="str">
        <f>"61"</f>
        <v>61</v>
      </c>
      <c r="H95" s="10" t="str">
        <f t="shared" si="4"/>
        <v>30016</v>
      </c>
      <c r="I95" s="10" t="s">
        <v>13</v>
      </c>
      <c r="J95" s="10" t="s">
        <v>926</v>
      </c>
      <c r="K95" s="10" t="s">
        <v>20</v>
      </c>
    </row>
    <row r="96" spans="1:11" x14ac:dyDescent="0.3">
      <c r="A96" s="8">
        <v>93</v>
      </c>
      <c r="B96" s="8" t="s">
        <v>1000</v>
      </c>
      <c r="C96" s="8" t="s">
        <v>4134</v>
      </c>
      <c r="D96" s="8" t="s">
        <v>3912</v>
      </c>
      <c r="E96" s="8" t="s">
        <v>4109</v>
      </c>
      <c r="F96" s="8" t="s">
        <v>4135</v>
      </c>
      <c r="G96" s="8" t="str">
        <f>"8"</f>
        <v>8</v>
      </c>
      <c r="H96" s="8" t="str">
        <f t="shared" si="4"/>
        <v>30016</v>
      </c>
      <c r="I96" s="8" t="s">
        <v>13</v>
      </c>
      <c r="J96" s="8" t="s">
        <v>927</v>
      </c>
      <c r="K96" s="8" t="s">
        <v>14</v>
      </c>
    </row>
    <row r="97" spans="1:11" x14ac:dyDescent="0.3">
      <c r="A97" s="10">
        <v>94</v>
      </c>
      <c r="B97" s="10" t="s">
        <v>4136</v>
      </c>
      <c r="C97" s="10" t="s">
        <v>4137</v>
      </c>
      <c r="D97" s="10" t="s">
        <v>3912</v>
      </c>
      <c r="E97" s="10" t="s">
        <v>4138</v>
      </c>
      <c r="F97" s="10" t="s">
        <v>4139</v>
      </c>
      <c r="G97" s="10" t="str">
        <f>"9"</f>
        <v>9</v>
      </c>
      <c r="H97" s="10" t="str">
        <f t="shared" ref="H97:H116" si="5">"30020"</f>
        <v>30020</v>
      </c>
      <c r="I97" s="10" t="s">
        <v>13</v>
      </c>
      <c r="J97" s="10" t="s">
        <v>926</v>
      </c>
      <c r="K97" s="10" t="s">
        <v>14</v>
      </c>
    </row>
    <row r="98" spans="1:11" x14ac:dyDescent="0.3">
      <c r="A98" s="10">
        <v>95</v>
      </c>
      <c r="B98" s="10" t="s">
        <v>4140</v>
      </c>
      <c r="C98" s="10" t="s">
        <v>4141</v>
      </c>
      <c r="D98" s="10" t="s">
        <v>3912</v>
      </c>
      <c r="E98" s="10" t="s">
        <v>4138</v>
      </c>
      <c r="F98" s="10" t="s">
        <v>4139</v>
      </c>
      <c r="G98" s="10" t="str">
        <f>"6/8"</f>
        <v>6/8</v>
      </c>
      <c r="H98" s="10" t="str">
        <f t="shared" si="5"/>
        <v>30020</v>
      </c>
      <c r="I98" s="10" t="s">
        <v>13</v>
      </c>
      <c r="J98" s="10" t="s">
        <v>926</v>
      </c>
      <c r="K98" s="10" t="s">
        <v>2924</v>
      </c>
    </row>
    <row r="99" spans="1:11" x14ac:dyDescent="0.3">
      <c r="A99" s="7">
        <v>96</v>
      </c>
      <c r="B99" s="7" t="s">
        <v>4142</v>
      </c>
      <c r="C99" s="7" t="s">
        <v>4143</v>
      </c>
      <c r="D99" s="7" t="s">
        <v>3912</v>
      </c>
      <c r="E99" s="7" t="s">
        <v>4138</v>
      </c>
      <c r="F99" s="7" t="s">
        <v>4144</v>
      </c>
      <c r="G99" s="7" t="str">
        <f>"12"</f>
        <v>12</v>
      </c>
      <c r="H99" s="7" t="str">
        <f t="shared" si="5"/>
        <v>30020</v>
      </c>
      <c r="I99" s="7" t="s">
        <v>13</v>
      </c>
      <c r="J99" s="7" t="s">
        <v>925</v>
      </c>
      <c r="K99" s="7" t="s">
        <v>14</v>
      </c>
    </row>
    <row r="100" spans="1:11" x14ac:dyDescent="0.3">
      <c r="A100" s="10">
        <v>97</v>
      </c>
      <c r="B100" s="10" t="s">
        <v>4145</v>
      </c>
      <c r="C100" s="10" t="s">
        <v>4146</v>
      </c>
      <c r="D100" s="10" t="s">
        <v>3912</v>
      </c>
      <c r="E100" s="10" t="s">
        <v>4138</v>
      </c>
      <c r="F100" s="10" t="s">
        <v>3430</v>
      </c>
      <c r="G100" s="10" t="str">
        <f>"SNC"</f>
        <v>SNC</v>
      </c>
      <c r="H100" s="10" t="str">
        <f t="shared" si="5"/>
        <v>30020</v>
      </c>
      <c r="I100" s="10" t="s">
        <v>13</v>
      </c>
      <c r="J100" s="10" t="s">
        <v>926</v>
      </c>
      <c r="K100" s="10" t="s">
        <v>43</v>
      </c>
    </row>
    <row r="101" spans="1:11" x14ac:dyDescent="0.3">
      <c r="A101" s="7">
        <v>98</v>
      </c>
      <c r="B101" s="7" t="s">
        <v>4147</v>
      </c>
      <c r="C101" s="7" t="s">
        <v>4148</v>
      </c>
      <c r="D101" s="7" t="s">
        <v>3912</v>
      </c>
      <c r="E101" s="7" t="s">
        <v>4138</v>
      </c>
      <c r="F101" s="7" t="s">
        <v>3430</v>
      </c>
      <c r="G101" s="7" t="str">
        <f>"15/B"</f>
        <v>15/B</v>
      </c>
      <c r="H101" s="7" t="str">
        <f t="shared" si="5"/>
        <v>30020</v>
      </c>
      <c r="I101" s="7" t="s">
        <v>13</v>
      </c>
      <c r="J101" s="7" t="s">
        <v>925</v>
      </c>
      <c r="K101" s="7" t="s">
        <v>14</v>
      </c>
    </row>
    <row r="102" spans="1:11" x14ac:dyDescent="0.3">
      <c r="A102" s="20">
        <v>99</v>
      </c>
      <c r="B102" s="20" t="s">
        <v>4149</v>
      </c>
      <c r="C102" s="20" t="s">
        <v>4150</v>
      </c>
      <c r="D102" s="20" t="s">
        <v>3912</v>
      </c>
      <c r="E102" s="20" t="s">
        <v>4138</v>
      </c>
      <c r="F102" s="20" t="s">
        <v>4051</v>
      </c>
      <c r="G102" s="20" t="str">
        <f>"7"</f>
        <v>7</v>
      </c>
      <c r="H102" s="20" t="str">
        <f t="shared" si="5"/>
        <v>30020</v>
      </c>
      <c r="I102" s="20" t="s">
        <v>13</v>
      </c>
      <c r="J102" s="20" t="s">
        <v>928</v>
      </c>
      <c r="K102" s="20" t="s">
        <v>62</v>
      </c>
    </row>
    <row r="103" spans="1:11" x14ac:dyDescent="0.3">
      <c r="A103" s="20">
        <v>100</v>
      </c>
      <c r="B103" s="20" t="s">
        <v>1356</v>
      </c>
      <c r="C103" s="20" t="s">
        <v>551</v>
      </c>
      <c r="D103" s="20" t="s">
        <v>3912</v>
      </c>
      <c r="E103" s="20" t="s">
        <v>4138</v>
      </c>
      <c r="F103" s="20" t="s">
        <v>3430</v>
      </c>
      <c r="G103" s="20" t="str">
        <f>"1/C"</f>
        <v>1/C</v>
      </c>
      <c r="H103" s="20" t="str">
        <f t="shared" si="5"/>
        <v>30020</v>
      </c>
      <c r="I103" s="20" t="s">
        <v>13</v>
      </c>
      <c r="J103" s="20" t="s">
        <v>928</v>
      </c>
      <c r="K103" s="20" t="s">
        <v>14</v>
      </c>
    </row>
    <row r="104" spans="1:11" x14ac:dyDescent="0.3">
      <c r="A104" s="20">
        <v>101</v>
      </c>
      <c r="B104" s="20" t="s">
        <v>4151</v>
      </c>
      <c r="C104" s="20" t="s">
        <v>4152</v>
      </c>
      <c r="D104" s="20" t="s">
        <v>3912</v>
      </c>
      <c r="E104" s="20" t="s">
        <v>4138</v>
      </c>
      <c r="F104" s="20" t="s">
        <v>3626</v>
      </c>
      <c r="G104" s="20" t="str">
        <f>"5"</f>
        <v>5</v>
      </c>
      <c r="H104" s="20" t="str">
        <f t="shared" si="5"/>
        <v>30020</v>
      </c>
      <c r="I104" s="20" t="s">
        <v>13</v>
      </c>
      <c r="J104" s="20" t="s">
        <v>928</v>
      </c>
      <c r="K104" s="20" t="s">
        <v>58</v>
      </c>
    </row>
    <row r="105" spans="1:11" x14ac:dyDescent="0.3">
      <c r="A105" s="10">
        <v>102</v>
      </c>
      <c r="B105" s="10" t="s">
        <v>4153</v>
      </c>
      <c r="C105" s="10" t="s">
        <v>4154</v>
      </c>
      <c r="D105" s="10" t="s">
        <v>3912</v>
      </c>
      <c r="E105" s="10" t="s">
        <v>4138</v>
      </c>
      <c r="F105" s="10" t="s">
        <v>4155</v>
      </c>
      <c r="G105" s="10" t="str">
        <f>"66/A"</f>
        <v>66/A</v>
      </c>
      <c r="H105" s="10" t="str">
        <f t="shared" si="5"/>
        <v>30020</v>
      </c>
      <c r="I105" s="10" t="s">
        <v>13</v>
      </c>
      <c r="J105" s="10" t="s">
        <v>926</v>
      </c>
      <c r="K105" s="10" t="s">
        <v>14</v>
      </c>
    </row>
    <row r="106" spans="1:11" x14ac:dyDescent="0.3">
      <c r="A106" s="7">
        <v>103</v>
      </c>
      <c r="B106" s="7" t="s">
        <v>4156</v>
      </c>
      <c r="C106" s="7" t="s">
        <v>485</v>
      </c>
      <c r="D106" s="7" t="s">
        <v>3912</v>
      </c>
      <c r="E106" s="7" t="s">
        <v>4138</v>
      </c>
      <c r="F106" s="7" t="s">
        <v>4157</v>
      </c>
      <c r="G106" s="7" t="str">
        <f>"24/26"</f>
        <v>24/26</v>
      </c>
      <c r="H106" s="7" t="str">
        <f t="shared" si="5"/>
        <v>30020</v>
      </c>
      <c r="I106" s="7" t="s">
        <v>13</v>
      </c>
      <c r="J106" s="7" t="s">
        <v>925</v>
      </c>
      <c r="K106" s="7" t="s">
        <v>165</v>
      </c>
    </row>
    <row r="107" spans="1:11" x14ac:dyDescent="0.3">
      <c r="A107" s="8">
        <v>104</v>
      </c>
      <c r="B107" s="8" t="s">
        <v>4158</v>
      </c>
      <c r="C107" s="8" t="s">
        <v>4159</v>
      </c>
      <c r="D107" s="8" t="s">
        <v>3912</v>
      </c>
      <c r="E107" s="8" t="s">
        <v>4138</v>
      </c>
      <c r="F107" s="8" t="s">
        <v>4063</v>
      </c>
      <c r="G107" s="8" t="str">
        <f>"12"</f>
        <v>12</v>
      </c>
      <c r="H107" s="8" t="str">
        <f t="shared" si="5"/>
        <v>30020</v>
      </c>
      <c r="I107" s="8" t="s">
        <v>13</v>
      </c>
      <c r="J107" s="8" t="s">
        <v>927</v>
      </c>
      <c r="K107" s="8" t="s">
        <v>195</v>
      </c>
    </row>
    <row r="108" spans="1:11" x14ac:dyDescent="0.3">
      <c r="A108" s="20">
        <v>105</v>
      </c>
      <c r="B108" s="20" t="s">
        <v>4160</v>
      </c>
      <c r="C108" s="20" t="s">
        <v>4161</v>
      </c>
      <c r="D108" s="20" t="s">
        <v>3912</v>
      </c>
      <c r="E108" s="20" t="s">
        <v>4138</v>
      </c>
      <c r="F108" s="20" t="s">
        <v>3430</v>
      </c>
      <c r="G108" s="20" t="str">
        <f>"1"</f>
        <v>1</v>
      </c>
      <c r="H108" s="20" t="str">
        <f t="shared" si="5"/>
        <v>30020</v>
      </c>
      <c r="I108" s="20" t="s">
        <v>13</v>
      </c>
      <c r="J108" s="20" t="s">
        <v>928</v>
      </c>
      <c r="K108" s="20" t="s">
        <v>14</v>
      </c>
    </row>
    <row r="109" spans="1:11" x14ac:dyDescent="0.3">
      <c r="A109" s="7">
        <v>106</v>
      </c>
      <c r="B109" s="7" t="s">
        <v>2364</v>
      </c>
      <c r="C109" s="7" t="s">
        <v>2365</v>
      </c>
      <c r="D109" s="7" t="s">
        <v>3912</v>
      </c>
      <c r="E109" s="7" t="s">
        <v>4138</v>
      </c>
      <c r="F109" s="7" t="s">
        <v>3430</v>
      </c>
      <c r="G109" s="7" t="str">
        <f>"1/C"</f>
        <v>1/C</v>
      </c>
      <c r="H109" s="7" t="str">
        <f t="shared" si="5"/>
        <v>30020</v>
      </c>
      <c r="I109" s="7" t="s">
        <v>13</v>
      </c>
      <c r="J109" s="7" t="s">
        <v>925</v>
      </c>
      <c r="K109" s="7" t="s">
        <v>14</v>
      </c>
    </row>
    <row r="110" spans="1:11" x14ac:dyDescent="0.3">
      <c r="A110" s="7">
        <v>107</v>
      </c>
      <c r="B110" s="7" t="s">
        <v>4162</v>
      </c>
      <c r="C110" s="7" t="s">
        <v>4163</v>
      </c>
      <c r="D110" s="7" t="s">
        <v>3912</v>
      </c>
      <c r="E110" s="7" t="s">
        <v>4138</v>
      </c>
      <c r="F110" s="7" t="s">
        <v>4164</v>
      </c>
      <c r="G110" s="7" t="str">
        <f>"17"</f>
        <v>17</v>
      </c>
      <c r="H110" s="7" t="str">
        <f t="shared" si="5"/>
        <v>30020</v>
      </c>
      <c r="I110" s="7" t="s">
        <v>13</v>
      </c>
      <c r="J110" s="7" t="s">
        <v>925</v>
      </c>
      <c r="K110" s="7" t="s">
        <v>14</v>
      </c>
    </row>
    <row r="111" spans="1:11" x14ac:dyDescent="0.3">
      <c r="A111" s="8">
        <v>108</v>
      </c>
      <c r="B111" s="8" t="s">
        <v>4165</v>
      </c>
      <c r="C111" s="8" t="s">
        <v>4166</v>
      </c>
      <c r="D111" s="8" t="s">
        <v>3912</v>
      </c>
      <c r="E111" s="8" t="s">
        <v>4138</v>
      </c>
      <c r="F111" s="8" t="s">
        <v>4164</v>
      </c>
      <c r="G111" s="8" t="str">
        <f>"34"</f>
        <v>34</v>
      </c>
      <c r="H111" s="8" t="str">
        <f t="shared" si="5"/>
        <v>30020</v>
      </c>
      <c r="I111" s="8" t="s">
        <v>13</v>
      </c>
      <c r="J111" s="8" t="s">
        <v>927</v>
      </c>
      <c r="K111" s="8" t="s">
        <v>4167</v>
      </c>
    </row>
    <row r="112" spans="1:11" x14ac:dyDescent="0.3">
      <c r="A112" s="3">
        <v>109</v>
      </c>
      <c r="B112" s="3" t="s">
        <v>4168</v>
      </c>
      <c r="C112" s="3" t="s">
        <v>255</v>
      </c>
      <c r="D112" s="3" t="s">
        <v>3912</v>
      </c>
      <c r="E112" s="3" t="s">
        <v>4138</v>
      </c>
      <c r="F112" s="3" t="s">
        <v>3430</v>
      </c>
      <c r="G112" s="3" t="str">
        <f>"1/C"</f>
        <v>1/C</v>
      </c>
      <c r="H112" s="3" t="str">
        <f t="shared" si="5"/>
        <v>30020</v>
      </c>
      <c r="I112" s="3" t="s">
        <v>13</v>
      </c>
      <c r="J112" s="3" t="s">
        <v>1771</v>
      </c>
      <c r="K112" s="3" t="s">
        <v>14</v>
      </c>
    </row>
    <row r="113" spans="1:11" x14ac:dyDescent="0.3">
      <c r="A113" s="8">
        <v>110</v>
      </c>
      <c r="B113" s="8" t="s">
        <v>2244</v>
      </c>
      <c r="C113" s="8" t="s">
        <v>4169</v>
      </c>
      <c r="D113" s="8" t="s">
        <v>3912</v>
      </c>
      <c r="E113" s="8" t="s">
        <v>4138</v>
      </c>
      <c r="F113" s="8" t="s">
        <v>3430</v>
      </c>
      <c r="G113" s="8" t="str">
        <f>"1/A"</f>
        <v>1/A</v>
      </c>
      <c r="H113" s="8" t="str">
        <f t="shared" si="5"/>
        <v>30020</v>
      </c>
      <c r="I113" s="8" t="s">
        <v>13</v>
      </c>
      <c r="J113" s="8" t="s">
        <v>927</v>
      </c>
      <c r="K113" s="8" t="s">
        <v>14</v>
      </c>
    </row>
    <row r="114" spans="1:11" x14ac:dyDescent="0.3">
      <c r="A114" s="7">
        <v>111</v>
      </c>
      <c r="B114" s="7" t="s">
        <v>4170</v>
      </c>
      <c r="C114" s="7" t="s">
        <v>4171</v>
      </c>
      <c r="D114" s="7" t="s">
        <v>3912</v>
      </c>
      <c r="E114" s="7" t="s">
        <v>4138</v>
      </c>
      <c r="F114" s="7" t="s">
        <v>3430</v>
      </c>
      <c r="G114" s="7" t="str">
        <f>"1"</f>
        <v>1</v>
      </c>
      <c r="H114" s="7" t="str">
        <f t="shared" si="5"/>
        <v>30020</v>
      </c>
      <c r="I114" s="7" t="s">
        <v>13</v>
      </c>
      <c r="J114" s="7" t="s">
        <v>925</v>
      </c>
      <c r="K114" s="7" t="s">
        <v>14</v>
      </c>
    </row>
    <row r="115" spans="1:11" x14ac:dyDescent="0.3">
      <c r="A115" s="10">
        <v>112</v>
      </c>
      <c r="B115" s="10" t="s">
        <v>4172</v>
      </c>
      <c r="C115" s="10" t="s">
        <v>4173</v>
      </c>
      <c r="D115" s="10" t="s">
        <v>3912</v>
      </c>
      <c r="E115" s="10" t="s">
        <v>4138</v>
      </c>
      <c r="F115" s="10" t="s">
        <v>3378</v>
      </c>
      <c r="G115" s="10" t="str">
        <f>"15"</f>
        <v>15</v>
      </c>
      <c r="H115" s="10" t="str">
        <f t="shared" si="5"/>
        <v>30020</v>
      </c>
      <c r="I115" s="10" t="s">
        <v>13</v>
      </c>
      <c r="J115" s="10" t="s">
        <v>926</v>
      </c>
      <c r="K115" s="10" t="s">
        <v>58</v>
      </c>
    </row>
    <row r="116" spans="1:11" x14ac:dyDescent="0.3">
      <c r="A116" s="10">
        <v>113</v>
      </c>
      <c r="B116" s="10" t="s">
        <v>4174</v>
      </c>
      <c r="C116" s="10" t="s">
        <v>4175</v>
      </c>
      <c r="D116" s="10" t="s">
        <v>3912</v>
      </c>
      <c r="E116" s="10" t="s">
        <v>4138</v>
      </c>
      <c r="F116" s="10" t="s">
        <v>4144</v>
      </c>
      <c r="G116" s="10" t="str">
        <f>"2"</f>
        <v>2</v>
      </c>
      <c r="H116" s="10" t="str">
        <f t="shared" si="5"/>
        <v>30020</v>
      </c>
      <c r="I116" s="10" t="s">
        <v>13</v>
      </c>
      <c r="J116" s="10" t="s">
        <v>926</v>
      </c>
      <c r="K116" s="10" t="s">
        <v>20</v>
      </c>
    </row>
    <row r="117" spans="1:11" x14ac:dyDescent="0.3">
      <c r="A117" s="8">
        <v>114</v>
      </c>
      <c r="B117" s="8" t="s">
        <v>4176</v>
      </c>
      <c r="C117" s="8" t="s">
        <v>4177</v>
      </c>
      <c r="D117" s="8" t="s">
        <v>3912</v>
      </c>
      <c r="E117" s="8" t="s">
        <v>4178</v>
      </c>
      <c r="F117" s="8" t="s">
        <v>4179</v>
      </c>
      <c r="G117" s="8" t="str">
        <f>"39"</f>
        <v>39</v>
      </c>
      <c r="H117" s="8" t="str">
        <f>"30030"</f>
        <v>30030</v>
      </c>
      <c r="I117" s="8" t="s">
        <v>13</v>
      </c>
      <c r="J117" s="8" t="s">
        <v>927</v>
      </c>
      <c r="K117" s="8" t="s">
        <v>66</v>
      </c>
    </row>
    <row r="118" spans="1:11" x14ac:dyDescent="0.3">
      <c r="A118" s="7">
        <v>115</v>
      </c>
      <c r="B118" s="7" t="s">
        <v>4180</v>
      </c>
      <c r="C118" s="7" t="s">
        <v>4181</v>
      </c>
      <c r="D118" s="7" t="s">
        <v>3912</v>
      </c>
      <c r="E118" s="7" t="s">
        <v>4178</v>
      </c>
      <c r="F118" s="7" t="s">
        <v>1806</v>
      </c>
      <c r="G118" s="7" t="str">
        <f>"124"</f>
        <v>124</v>
      </c>
      <c r="H118" s="7" t="str">
        <f>"30030"</f>
        <v>30030</v>
      </c>
      <c r="I118" s="7" t="s">
        <v>13</v>
      </c>
      <c r="J118" s="7" t="s">
        <v>925</v>
      </c>
      <c r="K118" s="7" t="s">
        <v>27</v>
      </c>
    </row>
    <row r="119" spans="1:11" x14ac:dyDescent="0.3">
      <c r="A119" s="7">
        <v>116</v>
      </c>
      <c r="B119" s="7" t="s">
        <v>4182</v>
      </c>
      <c r="C119" s="7" t="s">
        <v>4183</v>
      </c>
      <c r="D119" s="7" t="s">
        <v>3912</v>
      </c>
      <c r="E119" s="7" t="s">
        <v>4178</v>
      </c>
      <c r="F119" s="7" t="s">
        <v>3245</v>
      </c>
      <c r="G119" s="7" t="str">
        <f>"1/A"</f>
        <v>1/A</v>
      </c>
      <c r="H119" s="7" t="str">
        <f>"30030"</f>
        <v>30030</v>
      </c>
      <c r="I119" s="7" t="s">
        <v>13</v>
      </c>
      <c r="J119" s="7" t="s">
        <v>925</v>
      </c>
      <c r="K119" s="7" t="s">
        <v>43</v>
      </c>
    </row>
    <row r="120" spans="1:11" x14ac:dyDescent="0.3">
      <c r="A120" s="10">
        <v>117</v>
      </c>
      <c r="B120" s="10" t="s">
        <v>4184</v>
      </c>
      <c r="C120" s="10" t="s">
        <v>4185</v>
      </c>
      <c r="D120" s="10" t="s">
        <v>3912</v>
      </c>
      <c r="E120" s="10" t="s">
        <v>4178</v>
      </c>
      <c r="F120" s="10" t="s">
        <v>4179</v>
      </c>
      <c r="G120" s="10" t="str">
        <f>"19/A"</f>
        <v>19/A</v>
      </c>
      <c r="H120" s="10" t="str">
        <f>"30030"</f>
        <v>30030</v>
      </c>
      <c r="I120" s="10" t="s">
        <v>13</v>
      </c>
      <c r="J120" s="10" t="s">
        <v>926</v>
      </c>
      <c r="K120" s="10" t="s">
        <v>20</v>
      </c>
    </row>
    <row r="121" spans="1:11" x14ac:dyDescent="0.3">
      <c r="A121" s="7">
        <v>118</v>
      </c>
      <c r="B121" s="7" t="s">
        <v>4186</v>
      </c>
      <c r="C121" s="7" t="s">
        <v>4187</v>
      </c>
      <c r="D121" s="7" t="s">
        <v>3912</v>
      </c>
      <c r="E121" s="7" t="s">
        <v>4188</v>
      </c>
      <c r="F121" s="7" t="s">
        <v>4189</v>
      </c>
      <c r="G121" s="7" t="str">
        <f>"32"</f>
        <v>32</v>
      </c>
      <c r="H121" s="7" t="str">
        <f>"30020"</f>
        <v>30020</v>
      </c>
      <c r="I121" s="7" t="s">
        <v>13</v>
      </c>
      <c r="J121" s="7" t="s">
        <v>925</v>
      </c>
      <c r="K121" s="7" t="s">
        <v>14</v>
      </c>
    </row>
    <row r="122" spans="1:11" x14ac:dyDescent="0.3">
      <c r="A122" s="7">
        <v>119</v>
      </c>
      <c r="B122" s="7" t="s">
        <v>4190</v>
      </c>
      <c r="C122" s="7" t="s">
        <v>4191</v>
      </c>
      <c r="D122" s="7" t="s">
        <v>3912</v>
      </c>
      <c r="E122" s="7" t="s">
        <v>4188</v>
      </c>
      <c r="F122" s="7" t="s">
        <v>4192</v>
      </c>
      <c r="G122" s="7" t="str">
        <f>"47"</f>
        <v>47</v>
      </c>
      <c r="H122" s="7" t="str">
        <f>"30020"</f>
        <v>30020</v>
      </c>
      <c r="I122" s="7" t="s">
        <v>13</v>
      </c>
      <c r="J122" s="7" t="s">
        <v>925</v>
      </c>
      <c r="K122" s="7" t="s">
        <v>4193</v>
      </c>
    </row>
    <row r="123" spans="1:11" x14ac:dyDescent="0.3">
      <c r="A123" s="7">
        <v>120</v>
      </c>
      <c r="B123" s="7" t="s">
        <v>3000</v>
      </c>
      <c r="C123" s="7" t="s">
        <v>4194</v>
      </c>
      <c r="D123" s="7" t="s">
        <v>3912</v>
      </c>
      <c r="E123" s="7" t="s">
        <v>4188</v>
      </c>
      <c r="F123" s="7" t="s">
        <v>3119</v>
      </c>
      <c r="G123" s="7" t="str">
        <f>"31/32"</f>
        <v>31/32</v>
      </c>
      <c r="H123" s="7" t="str">
        <f>"30020"</f>
        <v>30020</v>
      </c>
      <c r="I123" s="7" t="s">
        <v>13</v>
      </c>
      <c r="J123" s="7" t="s">
        <v>925</v>
      </c>
      <c r="K123" s="7" t="s">
        <v>58</v>
      </c>
    </row>
    <row r="124" spans="1:11" x14ac:dyDescent="0.3">
      <c r="A124" s="7">
        <v>121</v>
      </c>
      <c r="B124" s="7" t="s">
        <v>4195</v>
      </c>
      <c r="C124" s="7" t="s">
        <v>4196</v>
      </c>
      <c r="D124" s="7" t="s">
        <v>3912</v>
      </c>
      <c r="E124" s="7" t="s">
        <v>4188</v>
      </c>
      <c r="F124" s="7" t="s">
        <v>4197</v>
      </c>
      <c r="G124" s="7" t="str">
        <f>"8/9"</f>
        <v>8/9</v>
      </c>
      <c r="H124" s="7" t="str">
        <f>"30020"</f>
        <v>30020</v>
      </c>
      <c r="I124" s="7" t="s">
        <v>13</v>
      </c>
      <c r="J124" s="7" t="s">
        <v>925</v>
      </c>
      <c r="K124" s="7" t="s">
        <v>43</v>
      </c>
    </row>
    <row r="125" spans="1:11" x14ac:dyDescent="0.3">
      <c r="A125" s="10">
        <v>122</v>
      </c>
      <c r="B125" s="10" t="s">
        <v>4198</v>
      </c>
      <c r="C125" s="10" t="s">
        <v>4199</v>
      </c>
      <c r="D125" s="10" t="s">
        <v>3912</v>
      </c>
      <c r="E125" s="10" t="s">
        <v>4200</v>
      </c>
      <c r="F125" s="10" t="s">
        <v>4201</v>
      </c>
      <c r="G125" s="10" t="str">
        <f>"26/F"</f>
        <v>26/F</v>
      </c>
      <c r="H125" s="10" t="str">
        <f t="shared" ref="H125:H137" si="6">"30034"</f>
        <v>30034</v>
      </c>
      <c r="I125" s="10" t="s">
        <v>13</v>
      </c>
      <c r="J125" s="10" t="s">
        <v>926</v>
      </c>
      <c r="K125" s="10" t="s">
        <v>20</v>
      </c>
    </row>
    <row r="126" spans="1:11" x14ac:dyDescent="0.3">
      <c r="A126" s="20">
        <v>123</v>
      </c>
      <c r="B126" s="20" t="s">
        <v>4057</v>
      </c>
      <c r="C126" s="20" t="s">
        <v>4058</v>
      </c>
      <c r="D126" s="20" t="s">
        <v>3912</v>
      </c>
      <c r="E126" s="20" t="s">
        <v>4200</v>
      </c>
      <c r="F126" s="20" t="s">
        <v>335</v>
      </c>
      <c r="G126" s="20" t="str">
        <f>"102"</f>
        <v>102</v>
      </c>
      <c r="H126" s="20" t="str">
        <f t="shared" si="6"/>
        <v>30034</v>
      </c>
      <c r="I126" s="20" t="s">
        <v>13</v>
      </c>
      <c r="J126" s="20" t="s">
        <v>928</v>
      </c>
      <c r="K126" s="20" t="s">
        <v>14</v>
      </c>
    </row>
    <row r="127" spans="1:11" x14ac:dyDescent="0.3">
      <c r="A127" s="7">
        <v>124</v>
      </c>
      <c r="B127" s="7" t="s">
        <v>4202</v>
      </c>
      <c r="C127" s="7" t="s">
        <v>4203</v>
      </c>
      <c r="D127" s="7" t="s">
        <v>3912</v>
      </c>
      <c r="E127" s="7" t="s">
        <v>4200</v>
      </c>
      <c r="F127" s="7" t="s">
        <v>4204</v>
      </c>
      <c r="G127" s="7" t="str">
        <f>"16"</f>
        <v>16</v>
      </c>
      <c r="H127" s="7" t="str">
        <f t="shared" si="6"/>
        <v>30034</v>
      </c>
      <c r="I127" s="7" t="s">
        <v>13</v>
      </c>
      <c r="J127" s="7" t="s">
        <v>925</v>
      </c>
      <c r="K127" s="7" t="s">
        <v>14</v>
      </c>
    </row>
    <row r="128" spans="1:11" x14ac:dyDescent="0.3">
      <c r="A128" s="8">
        <v>125</v>
      </c>
      <c r="B128" s="8" t="s">
        <v>1626</v>
      </c>
      <c r="C128" s="8" t="s">
        <v>1712</v>
      </c>
      <c r="D128" s="8" t="s">
        <v>3912</v>
      </c>
      <c r="E128" s="8" t="s">
        <v>4200</v>
      </c>
      <c r="F128" s="8" t="s">
        <v>2108</v>
      </c>
      <c r="G128" s="8" t="str">
        <f>"6"</f>
        <v>6</v>
      </c>
      <c r="H128" s="8" t="str">
        <f t="shared" si="6"/>
        <v>30034</v>
      </c>
      <c r="I128" s="8" t="s">
        <v>13</v>
      </c>
      <c r="J128" s="8" t="s">
        <v>927</v>
      </c>
      <c r="K128" s="8" t="s">
        <v>14</v>
      </c>
    </row>
    <row r="129" spans="1:11" x14ac:dyDescent="0.3">
      <c r="A129" s="8">
        <v>126</v>
      </c>
      <c r="B129" s="8" t="s">
        <v>4205</v>
      </c>
      <c r="C129" s="8" t="s">
        <v>101</v>
      </c>
      <c r="D129" s="8" t="s">
        <v>3912</v>
      </c>
      <c r="E129" s="8" t="s">
        <v>4200</v>
      </c>
      <c r="F129" s="8" t="s">
        <v>4206</v>
      </c>
      <c r="G129" s="8" t="str">
        <f>"18"</f>
        <v>18</v>
      </c>
      <c r="H129" s="8" t="str">
        <f t="shared" si="6"/>
        <v>30034</v>
      </c>
      <c r="I129" s="8" t="s">
        <v>13</v>
      </c>
      <c r="J129" s="8" t="s">
        <v>927</v>
      </c>
      <c r="K129" s="8" t="s">
        <v>14</v>
      </c>
    </row>
    <row r="130" spans="1:11" x14ac:dyDescent="0.3">
      <c r="A130" s="7">
        <v>127</v>
      </c>
      <c r="B130" s="7" t="s">
        <v>4207</v>
      </c>
      <c r="C130" s="7" t="s">
        <v>4208</v>
      </c>
      <c r="D130" s="7" t="s">
        <v>3912</v>
      </c>
      <c r="E130" s="7" t="s">
        <v>4200</v>
      </c>
      <c r="F130" s="7" t="s">
        <v>4209</v>
      </c>
      <c r="G130" s="7" t="str">
        <f>"108"</f>
        <v>108</v>
      </c>
      <c r="H130" s="7" t="str">
        <f t="shared" si="6"/>
        <v>30034</v>
      </c>
      <c r="I130" s="7" t="s">
        <v>13</v>
      </c>
      <c r="J130" s="7" t="s">
        <v>925</v>
      </c>
      <c r="K130" s="7" t="s">
        <v>205</v>
      </c>
    </row>
    <row r="131" spans="1:11" x14ac:dyDescent="0.3">
      <c r="A131" s="7">
        <v>128</v>
      </c>
      <c r="B131" s="7" t="s">
        <v>4210</v>
      </c>
      <c r="C131" s="7" t="s">
        <v>4211</v>
      </c>
      <c r="D131" s="7" t="s">
        <v>3912</v>
      </c>
      <c r="E131" s="7" t="s">
        <v>4200</v>
      </c>
      <c r="F131" s="7" t="s">
        <v>4212</v>
      </c>
      <c r="G131" s="7" t="str">
        <f>"67/E"</f>
        <v>67/E</v>
      </c>
      <c r="H131" s="7" t="str">
        <f t="shared" si="6"/>
        <v>30034</v>
      </c>
      <c r="I131" s="7" t="s">
        <v>13</v>
      </c>
      <c r="J131" s="7" t="s">
        <v>925</v>
      </c>
      <c r="K131" s="7" t="s">
        <v>14</v>
      </c>
    </row>
    <row r="132" spans="1:11" x14ac:dyDescent="0.3">
      <c r="A132" s="8">
        <v>129</v>
      </c>
      <c r="B132" s="8" t="s">
        <v>1010</v>
      </c>
      <c r="C132" s="8" t="s">
        <v>110</v>
      </c>
      <c r="D132" s="8" t="s">
        <v>3912</v>
      </c>
      <c r="E132" s="8" t="s">
        <v>4200</v>
      </c>
      <c r="F132" s="8" t="s">
        <v>4212</v>
      </c>
      <c r="G132" s="8" t="str">
        <f>"65/B"</f>
        <v>65/B</v>
      </c>
      <c r="H132" s="8" t="str">
        <f t="shared" si="6"/>
        <v>30034</v>
      </c>
      <c r="I132" s="8" t="s">
        <v>13</v>
      </c>
      <c r="J132" s="8" t="s">
        <v>927</v>
      </c>
      <c r="K132" s="8" t="s">
        <v>14</v>
      </c>
    </row>
    <row r="133" spans="1:11" x14ac:dyDescent="0.3">
      <c r="A133" s="8">
        <v>130</v>
      </c>
      <c r="B133" s="8" t="s">
        <v>4213</v>
      </c>
      <c r="C133" s="8" t="s">
        <v>4214</v>
      </c>
      <c r="D133" s="8" t="s">
        <v>3912</v>
      </c>
      <c r="E133" s="8" t="s">
        <v>4200</v>
      </c>
      <c r="F133" s="8" t="s">
        <v>4215</v>
      </c>
      <c r="G133" s="8" t="str">
        <f>"12"</f>
        <v>12</v>
      </c>
      <c r="H133" s="8" t="str">
        <f t="shared" si="6"/>
        <v>30034</v>
      </c>
      <c r="I133" s="8" t="s">
        <v>13</v>
      </c>
      <c r="J133" s="8" t="s">
        <v>927</v>
      </c>
      <c r="K133" s="8" t="s">
        <v>4167</v>
      </c>
    </row>
    <row r="134" spans="1:11" x14ac:dyDescent="0.3">
      <c r="A134" s="8">
        <v>131</v>
      </c>
      <c r="B134" s="8" t="s">
        <v>4216</v>
      </c>
      <c r="C134" s="8" t="s">
        <v>4217</v>
      </c>
      <c r="D134" s="8" t="s">
        <v>3912</v>
      </c>
      <c r="E134" s="8" t="s">
        <v>4200</v>
      </c>
      <c r="F134" s="8" t="s">
        <v>4218</v>
      </c>
      <c r="G134" s="8" t="str">
        <f>"59"</f>
        <v>59</v>
      </c>
      <c r="H134" s="8" t="str">
        <f t="shared" si="6"/>
        <v>30034</v>
      </c>
      <c r="I134" s="8" t="s">
        <v>13</v>
      </c>
      <c r="J134" s="8" t="s">
        <v>927</v>
      </c>
      <c r="K134" s="8" t="s">
        <v>58</v>
      </c>
    </row>
    <row r="135" spans="1:11" x14ac:dyDescent="0.3">
      <c r="A135" s="7">
        <v>132</v>
      </c>
      <c r="B135" s="7" t="s">
        <v>4219</v>
      </c>
      <c r="C135" s="7" t="s">
        <v>4220</v>
      </c>
      <c r="D135" s="7" t="s">
        <v>3912</v>
      </c>
      <c r="E135" s="7" t="s">
        <v>4200</v>
      </c>
      <c r="F135" s="7" t="s">
        <v>335</v>
      </c>
      <c r="G135" s="7" t="str">
        <f>"181"</f>
        <v>181</v>
      </c>
      <c r="H135" s="7" t="str">
        <f t="shared" si="6"/>
        <v>30034</v>
      </c>
      <c r="I135" s="7" t="s">
        <v>13</v>
      </c>
      <c r="J135" s="7" t="s">
        <v>925</v>
      </c>
      <c r="K135" s="7" t="s">
        <v>58</v>
      </c>
    </row>
    <row r="136" spans="1:11" x14ac:dyDescent="0.3">
      <c r="A136" s="7">
        <v>133</v>
      </c>
      <c r="B136" s="7" t="s">
        <v>4221</v>
      </c>
      <c r="C136" s="7" t="s">
        <v>84</v>
      </c>
      <c r="D136" s="7" t="s">
        <v>3912</v>
      </c>
      <c r="E136" s="7" t="s">
        <v>4200</v>
      </c>
      <c r="F136" s="7" t="s">
        <v>4222</v>
      </c>
      <c r="G136" s="7" t="str">
        <f>"1"</f>
        <v>1</v>
      </c>
      <c r="H136" s="7" t="str">
        <f t="shared" si="6"/>
        <v>30034</v>
      </c>
      <c r="I136" s="7" t="s">
        <v>13</v>
      </c>
      <c r="J136" s="7" t="s">
        <v>925</v>
      </c>
      <c r="K136" s="7" t="s">
        <v>342</v>
      </c>
    </row>
    <row r="137" spans="1:11" x14ac:dyDescent="0.3">
      <c r="A137" s="7">
        <v>134</v>
      </c>
      <c r="B137" s="7" t="s">
        <v>4223</v>
      </c>
      <c r="C137" s="7" t="s">
        <v>4224</v>
      </c>
      <c r="D137" s="7" t="s">
        <v>3912</v>
      </c>
      <c r="E137" s="7" t="s">
        <v>4200</v>
      </c>
      <c r="F137" s="7" t="s">
        <v>245</v>
      </c>
      <c r="G137" s="7" t="str">
        <f>"39"</f>
        <v>39</v>
      </c>
      <c r="H137" s="7" t="str">
        <f t="shared" si="6"/>
        <v>30034</v>
      </c>
      <c r="I137" s="7" t="s">
        <v>13</v>
      </c>
      <c r="J137" s="7" t="s">
        <v>925</v>
      </c>
      <c r="K137" s="7" t="s">
        <v>36</v>
      </c>
    </row>
    <row r="138" spans="1:11" x14ac:dyDescent="0.3">
      <c r="A138" s="8">
        <v>135</v>
      </c>
      <c r="B138" s="8" t="s">
        <v>4225</v>
      </c>
      <c r="C138" s="8" t="s">
        <v>4226</v>
      </c>
      <c r="D138" s="8" t="s">
        <v>3912</v>
      </c>
      <c r="E138" s="8" t="s">
        <v>4227</v>
      </c>
      <c r="F138" s="8" t="s">
        <v>4228</v>
      </c>
      <c r="G138" s="8" t="str">
        <f>"166"</f>
        <v>166</v>
      </c>
      <c r="H138" s="8" t="str">
        <f t="shared" ref="H138:H148" si="7">"30035"</f>
        <v>30035</v>
      </c>
      <c r="I138" s="8" t="s">
        <v>13</v>
      </c>
      <c r="J138" s="8" t="s">
        <v>927</v>
      </c>
      <c r="K138" s="8" t="s">
        <v>58</v>
      </c>
    </row>
    <row r="139" spans="1:11" x14ac:dyDescent="0.3">
      <c r="A139" s="7">
        <v>136</v>
      </c>
      <c r="B139" s="7" t="s">
        <v>4229</v>
      </c>
      <c r="C139" s="7" t="s">
        <v>2313</v>
      </c>
      <c r="D139" s="7" t="s">
        <v>3912</v>
      </c>
      <c r="E139" s="7" t="s">
        <v>4227</v>
      </c>
      <c r="F139" s="7" t="s">
        <v>4230</v>
      </c>
      <c r="G139" s="7" t="str">
        <f>"58/60"</f>
        <v>58/60</v>
      </c>
      <c r="H139" s="7" t="str">
        <f t="shared" si="7"/>
        <v>30035</v>
      </c>
      <c r="I139" s="7" t="s">
        <v>13</v>
      </c>
      <c r="J139" s="7" t="s">
        <v>925</v>
      </c>
      <c r="K139" s="7" t="s">
        <v>27</v>
      </c>
    </row>
    <row r="140" spans="1:11" x14ac:dyDescent="0.3">
      <c r="A140" s="10">
        <v>137</v>
      </c>
      <c r="B140" s="10" t="s">
        <v>4231</v>
      </c>
      <c r="C140" s="10" t="s">
        <v>4232</v>
      </c>
      <c r="D140" s="10" t="s">
        <v>3912</v>
      </c>
      <c r="E140" s="10" t="s">
        <v>4227</v>
      </c>
      <c r="F140" s="10" t="s">
        <v>53</v>
      </c>
      <c r="G140" s="10" t="str">
        <f>"69"</f>
        <v>69</v>
      </c>
      <c r="H140" s="10" t="str">
        <f t="shared" si="7"/>
        <v>30035</v>
      </c>
      <c r="I140" s="10" t="s">
        <v>13</v>
      </c>
      <c r="J140" s="10" t="s">
        <v>926</v>
      </c>
      <c r="K140" s="10" t="s">
        <v>43</v>
      </c>
    </row>
    <row r="141" spans="1:11" x14ac:dyDescent="0.3">
      <c r="A141" s="7">
        <v>138</v>
      </c>
      <c r="B141" s="7" t="s">
        <v>4233</v>
      </c>
      <c r="C141" s="7" t="s">
        <v>4234</v>
      </c>
      <c r="D141" s="7" t="s">
        <v>3912</v>
      </c>
      <c r="E141" s="7" t="s">
        <v>4227</v>
      </c>
      <c r="F141" s="7" t="s">
        <v>1707</v>
      </c>
      <c r="G141" s="7" t="str">
        <f>"119/A"</f>
        <v>119/A</v>
      </c>
      <c r="H141" s="7" t="str">
        <f t="shared" si="7"/>
        <v>30035</v>
      </c>
      <c r="I141" s="7" t="s">
        <v>13</v>
      </c>
      <c r="J141" s="7" t="s">
        <v>925</v>
      </c>
      <c r="K141" s="7" t="s">
        <v>3871</v>
      </c>
    </row>
    <row r="142" spans="1:11" x14ac:dyDescent="0.3">
      <c r="A142" s="20">
        <v>139</v>
      </c>
      <c r="B142" s="20" t="s">
        <v>4235</v>
      </c>
      <c r="C142" s="20" t="s">
        <v>4236</v>
      </c>
      <c r="D142" s="20" t="s">
        <v>3912</v>
      </c>
      <c r="E142" s="20" t="s">
        <v>4227</v>
      </c>
      <c r="F142" s="20" t="s">
        <v>2840</v>
      </c>
      <c r="G142" s="20" t="str">
        <f>"2/A"</f>
        <v>2/A</v>
      </c>
      <c r="H142" s="20" t="str">
        <f t="shared" si="7"/>
        <v>30035</v>
      </c>
      <c r="I142" s="20" t="s">
        <v>13</v>
      </c>
      <c r="J142" s="20" t="s">
        <v>928</v>
      </c>
      <c r="K142" s="20" t="s">
        <v>205</v>
      </c>
    </row>
    <row r="143" spans="1:11" x14ac:dyDescent="0.3">
      <c r="A143" s="10">
        <v>140</v>
      </c>
      <c r="B143" s="10" t="s">
        <v>4237</v>
      </c>
      <c r="C143" s="10" t="s">
        <v>4238</v>
      </c>
      <c r="D143" s="10" t="s">
        <v>3912</v>
      </c>
      <c r="E143" s="10" t="s">
        <v>4227</v>
      </c>
      <c r="F143" s="10" t="s">
        <v>4239</v>
      </c>
      <c r="G143" s="10" t="str">
        <f>"74"</f>
        <v>74</v>
      </c>
      <c r="H143" s="10" t="str">
        <f t="shared" si="7"/>
        <v>30035</v>
      </c>
      <c r="I143" s="10" t="s">
        <v>13</v>
      </c>
      <c r="J143" s="10" t="s">
        <v>926</v>
      </c>
      <c r="K143" s="10" t="s">
        <v>20</v>
      </c>
    </row>
    <row r="144" spans="1:11" x14ac:dyDescent="0.3">
      <c r="A144" s="8">
        <v>141</v>
      </c>
      <c r="B144" s="8" t="s">
        <v>1010</v>
      </c>
      <c r="C144" s="8" t="s">
        <v>110</v>
      </c>
      <c r="D144" s="8" t="s">
        <v>3912</v>
      </c>
      <c r="E144" s="8" t="s">
        <v>4227</v>
      </c>
      <c r="F144" s="8" t="s">
        <v>4218</v>
      </c>
      <c r="G144" s="8" t="str">
        <f>"65/B"</f>
        <v>65/B</v>
      </c>
      <c r="H144" s="8" t="str">
        <f t="shared" si="7"/>
        <v>30035</v>
      </c>
      <c r="I144" s="8" t="s">
        <v>13</v>
      </c>
      <c r="J144" s="8" t="s">
        <v>927</v>
      </c>
      <c r="K144" s="8" t="s">
        <v>14</v>
      </c>
    </row>
    <row r="145" spans="1:11" x14ac:dyDescent="0.3">
      <c r="A145" s="10">
        <v>142</v>
      </c>
      <c r="B145" s="10" t="s">
        <v>4240</v>
      </c>
      <c r="C145" s="10" t="s">
        <v>4241</v>
      </c>
      <c r="D145" s="10" t="s">
        <v>3912</v>
      </c>
      <c r="E145" s="10" t="s">
        <v>4227</v>
      </c>
      <c r="F145" s="10" t="s">
        <v>4239</v>
      </c>
      <c r="G145" s="10" t="str">
        <f>"10"</f>
        <v>10</v>
      </c>
      <c r="H145" s="10" t="str">
        <f t="shared" si="7"/>
        <v>30035</v>
      </c>
      <c r="I145" s="10" t="s">
        <v>13</v>
      </c>
      <c r="J145" s="10" t="s">
        <v>926</v>
      </c>
      <c r="K145" s="10" t="s">
        <v>36</v>
      </c>
    </row>
    <row r="146" spans="1:11" x14ac:dyDescent="0.3">
      <c r="A146" s="20">
        <v>143</v>
      </c>
      <c r="B146" s="20" t="s">
        <v>4242</v>
      </c>
      <c r="C146" s="20" t="s">
        <v>2795</v>
      </c>
      <c r="D146" s="20" t="s">
        <v>3912</v>
      </c>
      <c r="E146" s="20" t="s">
        <v>4227</v>
      </c>
      <c r="F146" s="20" t="s">
        <v>761</v>
      </c>
      <c r="G146" s="20" t="str">
        <f>"59"</f>
        <v>59</v>
      </c>
      <c r="H146" s="20" t="str">
        <f t="shared" si="7"/>
        <v>30035</v>
      </c>
      <c r="I146" s="20" t="s">
        <v>13</v>
      </c>
      <c r="J146" s="20" t="s">
        <v>928</v>
      </c>
      <c r="K146" s="20" t="s">
        <v>43</v>
      </c>
    </row>
    <row r="147" spans="1:11" x14ac:dyDescent="0.3">
      <c r="A147" s="7">
        <v>144</v>
      </c>
      <c r="B147" s="7" t="s">
        <v>4243</v>
      </c>
      <c r="C147" s="7" t="s">
        <v>255</v>
      </c>
      <c r="D147" s="7" t="s">
        <v>3912</v>
      </c>
      <c r="E147" s="7" t="s">
        <v>4227</v>
      </c>
      <c r="F147" s="7" t="s">
        <v>4244</v>
      </c>
      <c r="G147" s="7" t="str">
        <f>"76"</f>
        <v>76</v>
      </c>
      <c r="H147" s="7" t="str">
        <f t="shared" si="7"/>
        <v>30035</v>
      </c>
      <c r="I147" s="7" t="s">
        <v>13</v>
      </c>
      <c r="J147" s="7" t="s">
        <v>925</v>
      </c>
      <c r="K147" s="7" t="s">
        <v>43</v>
      </c>
    </row>
    <row r="148" spans="1:11" x14ac:dyDescent="0.3">
      <c r="A148" s="8">
        <v>145</v>
      </c>
      <c r="B148" s="8" t="s">
        <v>1000</v>
      </c>
      <c r="C148" s="8" t="s">
        <v>4245</v>
      </c>
      <c r="D148" s="8" t="s">
        <v>3912</v>
      </c>
      <c r="E148" s="8" t="s">
        <v>4227</v>
      </c>
      <c r="F148" s="8" t="s">
        <v>4244</v>
      </c>
      <c r="G148" s="8" t="str">
        <f>"167/C"</f>
        <v>167/C</v>
      </c>
      <c r="H148" s="8" t="str">
        <f t="shared" si="7"/>
        <v>30035</v>
      </c>
      <c r="I148" s="8" t="s">
        <v>13</v>
      </c>
      <c r="J148" s="8" t="s">
        <v>927</v>
      </c>
      <c r="K148" s="8" t="s">
        <v>14</v>
      </c>
    </row>
    <row r="149" spans="1:11" x14ac:dyDescent="0.3">
      <c r="A149" s="8">
        <v>146</v>
      </c>
      <c r="B149" s="8" t="s">
        <v>990</v>
      </c>
      <c r="C149" s="8" t="s">
        <v>86</v>
      </c>
      <c r="D149" s="8" t="s">
        <v>3912</v>
      </c>
      <c r="E149" s="8" t="s">
        <v>4246</v>
      </c>
      <c r="F149" s="8" t="s">
        <v>4247</v>
      </c>
      <c r="G149" s="8" t="str">
        <f>"3"</f>
        <v>3</v>
      </c>
      <c r="H149" s="8" t="str">
        <f>"30024"</f>
        <v>30024</v>
      </c>
      <c r="I149" s="8" t="s">
        <v>13</v>
      </c>
      <c r="J149" s="8" t="s">
        <v>927</v>
      </c>
      <c r="K149" s="8" t="s">
        <v>14</v>
      </c>
    </row>
    <row r="150" spans="1:11" x14ac:dyDescent="0.3">
      <c r="A150" s="10">
        <v>147</v>
      </c>
      <c r="B150" s="10" t="s">
        <v>4248</v>
      </c>
      <c r="C150" s="10" t="s">
        <v>4249</v>
      </c>
      <c r="D150" s="10" t="s">
        <v>3912</v>
      </c>
      <c r="E150" s="10" t="s">
        <v>4246</v>
      </c>
      <c r="F150" s="10" t="s">
        <v>1824</v>
      </c>
      <c r="G150" s="10" t="str">
        <f>"7"</f>
        <v>7</v>
      </c>
      <c r="H150" s="10" t="str">
        <f>"30024"</f>
        <v>30024</v>
      </c>
      <c r="I150" s="10" t="s">
        <v>13</v>
      </c>
      <c r="J150" s="10" t="s">
        <v>926</v>
      </c>
      <c r="K150" s="10" t="s">
        <v>205</v>
      </c>
    </row>
    <row r="151" spans="1:11" x14ac:dyDescent="0.3">
      <c r="A151" s="7">
        <v>148</v>
      </c>
      <c r="B151" s="7" t="s">
        <v>4250</v>
      </c>
      <c r="C151" s="7" t="s">
        <v>4251</v>
      </c>
      <c r="D151" s="7" t="s">
        <v>3912</v>
      </c>
      <c r="E151" s="7" t="s">
        <v>4246</v>
      </c>
      <c r="F151" s="7" t="s">
        <v>4252</v>
      </c>
      <c r="G151" s="7" t="str">
        <f>"31"</f>
        <v>31</v>
      </c>
      <c r="H151" s="7" t="str">
        <f>"30024"</f>
        <v>30024</v>
      </c>
      <c r="I151" s="7" t="s">
        <v>13</v>
      </c>
      <c r="J151" s="7" t="s">
        <v>925</v>
      </c>
      <c r="K151" s="7" t="s">
        <v>36</v>
      </c>
    </row>
    <row r="152" spans="1:11" x14ac:dyDescent="0.3">
      <c r="A152" s="8">
        <v>149</v>
      </c>
      <c r="B152" s="8" t="s">
        <v>931</v>
      </c>
      <c r="C152" s="8" t="s">
        <v>54</v>
      </c>
      <c r="D152" s="8" t="s">
        <v>3912</v>
      </c>
      <c r="E152" s="8" t="s">
        <v>4253</v>
      </c>
      <c r="F152" s="8" t="s">
        <v>4254</v>
      </c>
      <c r="G152" s="8" t="str">
        <f>"SNC"</f>
        <v>SNC</v>
      </c>
      <c r="H152" s="8" t="str">
        <f t="shared" ref="H152:H157" si="8">"30033"</f>
        <v>30033</v>
      </c>
      <c r="I152" s="8" t="s">
        <v>13</v>
      </c>
      <c r="J152" s="8" t="s">
        <v>927</v>
      </c>
      <c r="K152" s="8" t="s">
        <v>14</v>
      </c>
    </row>
    <row r="153" spans="1:11" x14ac:dyDescent="0.3">
      <c r="A153" s="10">
        <v>150</v>
      </c>
      <c r="B153" s="10" t="s">
        <v>4255</v>
      </c>
      <c r="C153" s="10" t="s">
        <v>4256</v>
      </c>
      <c r="D153" s="10" t="s">
        <v>3912</v>
      </c>
      <c r="E153" s="10" t="s">
        <v>4253</v>
      </c>
      <c r="F153" s="10" t="s">
        <v>4257</v>
      </c>
      <c r="G153" s="10" t="str">
        <f>"8"</f>
        <v>8</v>
      </c>
      <c r="H153" s="10" t="str">
        <f t="shared" si="8"/>
        <v>30033</v>
      </c>
      <c r="I153" s="10" t="s">
        <v>13</v>
      </c>
      <c r="J153" s="10" t="s">
        <v>926</v>
      </c>
      <c r="K153" s="10" t="s">
        <v>139</v>
      </c>
    </row>
    <row r="154" spans="1:11" x14ac:dyDescent="0.3">
      <c r="A154" s="10">
        <v>151</v>
      </c>
      <c r="B154" s="10" t="s">
        <v>4258</v>
      </c>
      <c r="C154" s="10" t="s">
        <v>4259</v>
      </c>
      <c r="D154" s="10" t="s">
        <v>3912</v>
      </c>
      <c r="E154" s="10" t="s">
        <v>4253</v>
      </c>
      <c r="F154" s="10" t="s">
        <v>2088</v>
      </c>
      <c r="G154" s="10" t="str">
        <f>"6"</f>
        <v>6</v>
      </c>
      <c r="H154" s="10" t="str">
        <f t="shared" si="8"/>
        <v>30033</v>
      </c>
      <c r="I154" s="10" t="s">
        <v>13</v>
      </c>
      <c r="J154" s="10" t="s">
        <v>926</v>
      </c>
      <c r="K154" s="10" t="s">
        <v>20</v>
      </c>
    </row>
    <row r="155" spans="1:11" x14ac:dyDescent="0.3">
      <c r="A155" s="7">
        <v>152</v>
      </c>
      <c r="B155" s="7" t="s">
        <v>4260</v>
      </c>
      <c r="C155" s="7" t="s">
        <v>4261</v>
      </c>
      <c r="D155" s="7" t="s">
        <v>3912</v>
      </c>
      <c r="E155" s="7" t="s">
        <v>4253</v>
      </c>
      <c r="F155" s="7" t="s">
        <v>4262</v>
      </c>
      <c r="G155" s="7" t="str">
        <f>"4"</f>
        <v>4</v>
      </c>
      <c r="H155" s="7" t="str">
        <f t="shared" si="8"/>
        <v>30033</v>
      </c>
      <c r="I155" s="7" t="s">
        <v>13</v>
      </c>
      <c r="J155" s="7" t="s">
        <v>925</v>
      </c>
      <c r="K155" s="7" t="s">
        <v>14</v>
      </c>
    </row>
    <row r="156" spans="1:11" x14ac:dyDescent="0.3">
      <c r="A156" s="7">
        <v>153</v>
      </c>
      <c r="B156" s="7" t="s">
        <v>4263</v>
      </c>
      <c r="C156" s="7" t="s">
        <v>4264</v>
      </c>
      <c r="D156" s="7" t="s">
        <v>3912</v>
      </c>
      <c r="E156" s="7" t="s">
        <v>4253</v>
      </c>
      <c r="F156" s="7" t="s">
        <v>167</v>
      </c>
      <c r="G156" s="7" t="str">
        <f>"44"</f>
        <v>44</v>
      </c>
      <c r="H156" s="7" t="str">
        <f t="shared" si="8"/>
        <v>30033</v>
      </c>
      <c r="I156" s="7" t="s">
        <v>13</v>
      </c>
      <c r="J156" s="7" t="s">
        <v>925</v>
      </c>
      <c r="K156" s="7" t="s">
        <v>36</v>
      </c>
    </row>
    <row r="157" spans="1:11" x14ac:dyDescent="0.3">
      <c r="A157" s="7">
        <v>154</v>
      </c>
      <c r="B157" s="7" t="s">
        <v>4265</v>
      </c>
      <c r="C157" s="7" t="s">
        <v>4266</v>
      </c>
      <c r="D157" s="7" t="s">
        <v>3912</v>
      </c>
      <c r="E157" s="7" t="s">
        <v>4253</v>
      </c>
      <c r="F157" s="7" t="s">
        <v>4267</v>
      </c>
      <c r="G157" s="7" t="str">
        <f>"10"</f>
        <v>10</v>
      </c>
      <c r="H157" s="7" t="str">
        <f t="shared" si="8"/>
        <v>30033</v>
      </c>
      <c r="I157" s="7" t="s">
        <v>13</v>
      </c>
      <c r="J157" s="7" t="s">
        <v>925</v>
      </c>
      <c r="K157" s="7" t="s">
        <v>224</v>
      </c>
    </row>
    <row r="158" spans="1:11" x14ac:dyDescent="0.3">
      <c r="A158" s="8">
        <v>155</v>
      </c>
      <c r="B158" s="8" t="s">
        <v>931</v>
      </c>
      <c r="C158" s="8" t="s">
        <v>54</v>
      </c>
      <c r="D158" s="8" t="s">
        <v>3912</v>
      </c>
      <c r="E158" s="8" t="s">
        <v>4268</v>
      </c>
      <c r="F158" s="8" t="s">
        <v>4269</v>
      </c>
      <c r="G158" s="8" t="str">
        <f>"SNC"</f>
        <v>SNC</v>
      </c>
      <c r="H158" s="8" t="str">
        <f>"30020"</f>
        <v>30020</v>
      </c>
      <c r="I158" s="8" t="s">
        <v>13</v>
      </c>
      <c r="J158" s="8" t="s">
        <v>927</v>
      </c>
      <c r="K158" s="8" t="s">
        <v>14</v>
      </c>
    </row>
    <row r="159" spans="1:11" x14ac:dyDescent="0.3">
      <c r="A159" s="7">
        <v>156</v>
      </c>
      <c r="B159" s="7" t="s">
        <v>4270</v>
      </c>
      <c r="C159" s="7" t="s">
        <v>4271</v>
      </c>
      <c r="D159" s="7" t="s">
        <v>3912</v>
      </c>
      <c r="E159" s="7" t="s">
        <v>4268</v>
      </c>
      <c r="F159" s="7" t="s">
        <v>590</v>
      </c>
      <c r="G159" s="7" t="str">
        <f>"2/B"</f>
        <v>2/B</v>
      </c>
      <c r="H159" s="7" t="str">
        <f>"30020"</f>
        <v>30020</v>
      </c>
      <c r="I159" s="7" t="s">
        <v>13</v>
      </c>
      <c r="J159" s="7" t="s">
        <v>925</v>
      </c>
      <c r="K159" s="7" t="s">
        <v>95</v>
      </c>
    </row>
    <row r="160" spans="1:11" x14ac:dyDescent="0.3">
      <c r="A160" s="20">
        <v>157</v>
      </c>
      <c r="B160" s="20" t="s">
        <v>1356</v>
      </c>
      <c r="C160" s="20" t="s">
        <v>551</v>
      </c>
      <c r="D160" s="20" t="s">
        <v>3912</v>
      </c>
      <c r="E160" s="20" t="s">
        <v>4268</v>
      </c>
      <c r="F160" s="20" t="s">
        <v>276</v>
      </c>
      <c r="G160" s="20" t="str">
        <f>"1"</f>
        <v>1</v>
      </c>
      <c r="H160" s="20" t="str">
        <f>"30020"</f>
        <v>30020</v>
      </c>
      <c r="I160" s="20" t="s">
        <v>13</v>
      </c>
      <c r="J160" s="20" t="s">
        <v>928</v>
      </c>
      <c r="K160" s="20" t="s">
        <v>14</v>
      </c>
    </row>
    <row r="161" spans="1:11" x14ac:dyDescent="0.3">
      <c r="A161" s="7">
        <v>158</v>
      </c>
      <c r="B161" s="7" t="s">
        <v>4272</v>
      </c>
      <c r="C161" s="7" t="s">
        <v>4273</v>
      </c>
      <c r="D161" s="7" t="s">
        <v>3912</v>
      </c>
      <c r="E161" s="7" t="s">
        <v>4274</v>
      </c>
      <c r="F161" s="7" t="s">
        <v>4275</v>
      </c>
      <c r="G161" s="7" t="str">
        <f>"70"</f>
        <v>70</v>
      </c>
      <c r="H161" s="7" t="str">
        <f t="shared" ref="H161:H167" si="9">"30030"</f>
        <v>30030</v>
      </c>
      <c r="I161" s="7" t="s">
        <v>13</v>
      </c>
      <c r="J161" s="7" t="s">
        <v>925</v>
      </c>
      <c r="K161" s="7" t="s">
        <v>285</v>
      </c>
    </row>
    <row r="162" spans="1:11" x14ac:dyDescent="0.3">
      <c r="A162" s="8">
        <v>159</v>
      </c>
      <c r="B162" s="8" t="s">
        <v>4276</v>
      </c>
      <c r="C162" s="8" t="s">
        <v>4277</v>
      </c>
      <c r="D162" s="8" t="s">
        <v>3912</v>
      </c>
      <c r="E162" s="8" t="s">
        <v>4274</v>
      </c>
      <c r="F162" s="8" t="s">
        <v>4275</v>
      </c>
      <c r="G162" s="8" t="str">
        <f>"64"</f>
        <v>64</v>
      </c>
      <c r="H162" s="8" t="str">
        <f t="shared" si="9"/>
        <v>30030</v>
      </c>
      <c r="I162" s="8" t="s">
        <v>13</v>
      </c>
      <c r="J162" s="8" t="s">
        <v>927</v>
      </c>
      <c r="K162" s="8" t="s">
        <v>58</v>
      </c>
    </row>
    <row r="163" spans="1:11" x14ac:dyDescent="0.3">
      <c r="A163" s="7">
        <v>160</v>
      </c>
      <c r="B163" s="7" t="s">
        <v>4278</v>
      </c>
      <c r="C163" s="7" t="s">
        <v>4279</v>
      </c>
      <c r="D163" s="7" t="s">
        <v>3912</v>
      </c>
      <c r="E163" s="7" t="s">
        <v>4274</v>
      </c>
      <c r="F163" s="7" t="s">
        <v>4280</v>
      </c>
      <c r="G163" s="7" t="str">
        <f>"114/116"</f>
        <v>114/116</v>
      </c>
      <c r="H163" s="7" t="str">
        <f t="shared" si="9"/>
        <v>30030</v>
      </c>
      <c r="I163" s="7" t="s">
        <v>13</v>
      </c>
      <c r="J163" s="7" t="s">
        <v>925</v>
      </c>
      <c r="K163" s="7" t="s">
        <v>36</v>
      </c>
    </row>
    <row r="164" spans="1:11" x14ac:dyDescent="0.3">
      <c r="A164" s="7">
        <v>161</v>
      </c>
      <c r="B164" s="7" t="s">
        <v>4281</v>
      </c>
      <c r="C164" s="7" t="s">
        <v>4282</v>
      </c>
      <c r="D164" s="7" t="s">
        <v>3912</v>
      </c>
      <c r="E164" s="7" t="s">
        <v>4274</v>
      </c>
      <c r="F164" s="7" t="s">
        <v>4283</v>
      </c>
      <c r="G164" s="7" t="str">
        <f>"1"</f>
        <v>1</v>
      </c>
      <c r="H164" s="7" t="str">
        <f t="shared" si="9"/>
        <v>30030</v>
      </c>
      <c r="I164" s="7" t="s">
        <v>13</v>
      </c>
      <c r="J164" s="7" t="s">
        <v>925</v>
      </c>
      <c r="K164" s="7" t="s">
        <v>20</v>
      </c>
    </row>
    <row r="165" spans="1:11" x14ac:dyDescent="0.3">
      <c r="A165" s="7">
        <v>162</v>
      </c>
      <c r="B165" s="7" t="s">
        <v>4284</v>
      </c>
      <c r="C165" s="7" t="s">
        <v>4285</v>
      </c>
      <c r="D165" s="7" t="s">
        <v>3912</v>
      </c>
      <c r="E165" s="7" t="s">
        <v>4274</v>
      </c>
      <c r="F165" s="7" t="s">
        <v>48</v>
      </c>
      <c r="G165" s="7" t="str">
        <f>"72"</f>
        <v>72</v>
      </c>
      <c r="H165" s="7" t="str">
        <f t="shared" si="9"/>
        <v>30030</v>
      </c>
      <c r="I165" s="7" t="s">
        <v>13</v>
      </c>
      <c r="J165" s="7" t="s">
        <v>925</v>
      </c>
      <c r="K165" s="7" t="s">
        <v>777</v>
      </c>
    </row>
    <row r="166" spans="1:11" x14ac:dyDescent="0.3">
      <c r="A166" s="7">
        <v>163</v>
      </c>
      <c r="B166" s="7" t="s">
        <v>4286</v>
      </c>
      <c r="C166" s="7" t="s">
        <v>4287</v>
      </c>
      <c r="D166" s="7" t="s">
        <v>3912</v>
      </c>
      <c r="E166" s="7" t="s">
        <v>4274</v>
      </c>
      <c r="F166" s="7" t="s">
        <v>4280</v>
      </c>
      <c r="G166" s="7" t="str">
        <f>"69"</f>
        <v>69</v>
      </c>
      <c r="H166" s="7" t="str">
        <f t="shared" si="9"/>
        <v>30030</v>
      </c>
      <c r="I166" s="7" t="s">
        <v>13</v>
      </c>
      <c r="J166" s="7" t="s">
        <v>925</v>
      </c>
      <c r="K166" s="7" t="s">
        <v>345</v>
      </c>
    </row>
    <row r="167" spans="1:11" x14ac:dyDescent="0.3">
      <c r="A167" s="7">
        <v>164</v>
      </c>
      <c r="B167" s="7" t="s">
        <v>4288</v>
      </c>
      <c r="C167" s="7" t="s">
        <v>4289</v>
      </c>
      <c r="D167" s="7" t="s">
        <v>3912</v>
      </c>
      <c r="E167" s="7" t="s">
        <v>4274</v>
      </c>
      <c r="F167" s="7" t="s">
        <v>4290</v>
      </c>
      <c r="G167" s="7" t="str">
        <f>"19"</f>
        <v>19</v>
      </c>
      <c r="H167" s="7" t="str">
        <f t="shared" si="9"/>
        <v>30030</v>
      </c>
      <c r="I167" s="7" t="s">
        <v>13</v>
      </c>
      <c r="J167" s="7" t="s">
        <v>925</v>
      </c>
      <c r="K167" s="7" t="s">
        <v>285</v>
      </c>
    </row>
    <row r="168" spans="1:11" x14ac:dyDescent="0.3">
      <c r="A168" s="7">
        <v>165</v>
      </c>
      <c r="B168" s="7" t="s">
        <v>2948</v>
      </c>
      <c r="C168" s="7" t="s">
        <v>4291</v>
      </c>
      <c r="D168" s="7" t="s">
        <v>3912</v>
      </c>
      <c r="E168" s="7" t="s">
        <v>4292</v>
      </c>
      <c r="F168" s="7" t="s">
        <v>4293</v>
      </c>
      <c r="G168" s="7" t="str">
        <f>"1/A"</f>
        <v>1/A</v>
      </c>
      <c r="H168" s="7" t="str">
        <f t="shared" ref="H168:H192" si="10">"30026"</f>
        <v>30026</v>
      </c>
      <c r="I168" s="7" t="s">
        <v>13</v>
      </c>
      <c r="J168" s="7" t="s">
        <v>925</v>
      </c>
      <c r="K168" s="7" t="s">
        <v>58</v>
      </c>
    </row>
    <row r="169" spans="1:11" x14ac:dyDescent="0.3">
      <c r="A169" s="3">
        <v>166</v>
      </c>
      <c r="B169" s="3" t="s">
        <v>4294</v>
      </c>
      <c r="C169" s="3" t="s">
        <v>4295</v>
      </c>
      <c r="D169" s="3" t="s">
        <v>3912</v>
      </c>
      <c r="E169" s="3" t="s">
        <v>4292</v>
      </c>
      <c r="F169" s="3" t="s">
        <v>4296</v>
      </c>
      <c r="G169" s="3" t="str">
        <f>"29"</f>
        <v>29</v>
      </c>
      <c r="H169" s="3" t="str">
        <f t="shared" si="10"/>
        <v>30026</v>
      </c>
      <c r="I169" s="3" t="s">
        <v>13</v>
      </c>
      <c r="J169" s="3" t="s">
        <v>1771</v>
      </c>
      <c r="K169" s="3" t="s">
        <v>14</v>
      </c>
    </row>
    <row r="170" spans="1:11" x14ac:dyDescent="0.3">
      <c r="A170" s="3">
        <v>167</v>
      </c>
      <c r="B170" s="3" t="s">
        <v>4297</v>
      </c>
      <c r="C170" s="3" t="s">
        <v>4298</v>
      </c>
      <c r="D170" s="3" t="s">
        <v>3912</v>
      </c>
      <c r="E170" s="3" t="s">
        <v>4292</v>
      </c>
      <c r="F170" s="3" t="s">
        <v>4299</v>
      </c>
      <c r="G170" s="3" t="str">
        <f>"96"</f>
        <v>96</v>
      </c>
      <c r="H170" s="3" t="str">
        <f t="shared" si="10"/>
        <v>30026</v>
      </c>
      <c r="I170" s="3" t="s">
        <v>13</v>
      </c>
      <c r="J170" s="3" t="s">
        <v>1771</v>
      </c>
      <c r="K170" s="3" t="s">
        <v>43</v>
      </c>
    </row>
    <row r="171" spans="1:11" x14ac:dyDescent="0.3">
      <c r="A171" s="7">
        <v>168</v>
      </c>
      <c r="B171" s="7" t="s">
        <v>1107</v>
      </c>
      <c r="C171" s="7" t="s">
        <v>2181</v>
      </c>
      <c r="D171" s="7" t="s">
        <v>3912</v>
      </c>
      <c r="E171" s="7" t="s">
        <v>4292</v>
      </c>
      <c r="F171" s="7" t="s">
        <v>4296</v>
      </c>
      <c r="G171" s="7" t="str">
        <f>"29"</f>
        <v>29</v>
      </c>
      <c r="H171" s="7" t="str">
        <f t="shared" si="10"/>
        <v>30026</v>
      </c>
      <c r="I171" s="7" t="s">
        <v>13</v>
      </c>
      <c r="J171" s="7" t="s">
        <v>925</v>
      </c>
      <c r="K171" s="7" t="s">
        <v>224</v>
      </c>
    </row>
    <row r="172" spans="1:11" x14ac:dyDescent="0.3">
      <c r="A172" s="7">
        <v>169</v>
      </c>
      <c r="B172" s="7" t="s">
        <v>4300</v>
      </c>
      <c r="C172" s="7" t="s">
        <v>4301</v>
      </c>
      <c r="D172" s="7" t="s">
        <v>3912</v>
      </c>
      <c r="E172" s="7" t="s">
        <v>4292</v>
      </c>
      <c r="F172" s="7" t="s">
        <v>4302</v>
      </c>
      <c r="G172" s="7" t="str">
        <f>"12"</f>
        <v>12</v>
      </c>
      <c r="H172" s="7" t="str">
        <f t="shared" si="10"/>
        <v>30026</v>
      </c>
      <c r="I172" s="7" t="s">
        <v>13</v>
      </c>
      <c r="J172" s="7" t="s">
        <v>925</v>
      </c>
      <c r="K172" s="7" t="s">
        <v>58</v>
      </c>
    </row>
    <row r="173" spans="1:11" x14ac:dyDescent="0.3">
      <c r="A173" s="8">
        <v>170</v>
      </c>
      <c r="B173" s="8" t="s">
        <v>2764</v>
      </c>
      <c r="C173" s="8" t="s">
        <v>1712</v>
      </c>
      <c r="D173" s="8" t="s">
        <v>3912</v>
      </c>
      <c r="E173" s="8" t="s">
        <v>4292</v>
      </c>
      <c r="F173" s="8" t="s">
        <v>4303</v>
      </c>
      <c r="G173" s="8" t="str">
        <f>"26"</f>
        <v>26</v>
      </c>
      <c r="H173" s="8" t="str">
        <f t="shared" si="10"/>
        <v>30026</v>
      </c>
      <c r="I173" s="8" t="s">
        <v>13</v>
      </c>
      <c r="J173" s="8" t="s">
        <v>927</v>
      </c>
      <c r="K173" s="8" t="s">
        <v>14</v>
      </c>
    </row>
    <row r="174" spans="1:11" x14ac:dyDescent="0.3">
      <c r="A174" s="20">
        <v>171</v>
      </c>
      <c r="B174" s="20" t="s">
        <v>4304</v>
      </c>
      <c r="C174" s="20" t="s">
        <v>4305</v>
      </c>
      <c r="D174" s="20" t="s">
        <v>3912</v>
      </c>
      <c r="E174" s="20" t="s">
        <v>4292</v>
      </c>
      <c r="F174" s="20" t="s">
        <v>3280</v>
      </c>
      <c r="G174" s="20" t="str">
        <f>"42"</f>
        <v>42</v>
      </c>
      <c r="H174" s="20" t="str">
        <f t="shared" si="10"/>
        <v>30026</v>
      </c>
      <c r="I174" s="20" t="s">
        <v>13</v>
      </c>
      <c r="J174" s="20" t="s">
        <v>928</v>
      </c>
      <c r="K174" s="20" t="s">
        <v>1701</v>
      </c>
    </row>
    <row r="175" spans="1:11" x14ac:dyDescent="0.3">
      <c r="A175" s="10">
        <v>172</v>
      </c>
      <c r="B175" s="10" t="s">
        <v>4306</v>
      </c>
      <c r="C175" s="10" t="s">
        <v>4307</v>
      </c>
      <c r="D175" s="10" t="s">
        <v>3912</v>
      </c>
      <c r="E175" s="10" t="s">
        <v>4292</v>
      </c>
      <c r="F175" s="10" t="s">
        <v>4308</v>
      </c>
      <c r="G175" s="10" t="str">
        <f>"3"</f>
        <v>3</v>
      </c>
      <c r="H175" s="10" t="str">
        <f t="shared" si="10"/>
        <v>30026</v>
      </c>
      <c r="I175" s="10" t="s">
        <v>13</v>
      </c>
      <c r="J175" s="10" t="s">
        <v>926</v>
      </c>
      <c r="K175" s="10" t="s">
        <v>58</v>
      </c>
    </row>
    <row r="176" spans="1:11" x14ac:dyDescent="0.3">
      <c r="A176" s="7">
        <v>173</v>
      </c>
      <c r="B176" s="7" t="s">
        <v>4309</v>
      </c>
      <c r="C176" s="7" t="s">
        <v>2539</v>
      </c>
      <c r="D176" s="7" t="s">
        <v>3912</v>
      </c>
      <c r="E176" s="7" t="s">
        <v>4292</v>
      </c>
      <c r="F176" s="7" t="s">
        <v>552</v>
      </c>
      <c r="G176" s="7" t="str">
        <f>"31"</f>
        <v>31</v>
      </c>
      <c r="H176" s="7" t="str">
        <f t="shared" si="10"/>
        <v>30026</v>
      </c>
      <c r="I176" s="7" t="s">
        <v>13</v>
      </c>
      <c r="J176" s="7" t="s">
        <v>925</v>
      </c>
      <c r="K176" s="7" t="s">
        <v>20</v>
      </c>
    </row>
    <row r="177" spans="1:11" x14ac:dyDescent="0.3">
      <c r="A177" s="8">
        <v>174</v>
      </c>
      <c r="B177" s="8" t="s">
        <v>4310</v>
      </c>
      <c r="C177" s="8" t="s">
        <v>4311</v>
      </c>
      <c r="D177" s="8" t="s">
        <v>3912</v>
      </c>
      <c r="E177" s="8" t="s">
        <v>4292</v>
      </c>
      <c r="F177" s="8" t="s">
        <v>3965</v>
      </c>
      <c r="G177" s="8" t="str">
        <f>"52"</f>
        <v>52</v>
      </c>
      <c r="H177" s="8" t="str">
        <f t="shared" si="10"/>
        <v>30026</v>
      </c>
      <c r="I177" s="8" t="s">
        <v>13</v>
      </c>
      <c r="J177" s="8" t="s">
        <v>927</v>
      </c>
      <c r="K177" s="8" t="s">
        <v>241</v>
      </c>
    </row>
    <row r="178" spans="1:11" x14ac:dyDescent="0.3">
      <c r="A178" s="7">
        <v>175</v>
      </c>
      <c r="B178" s="7" t="s">
        <v>4312</v>
      </c>
      <c r="C178" s="7" t="s">
        <v>4313</v>
      </c>
      <c r="D178" s="7" t="s">
        <v>3912</v>
      </c>
      <c r="E178" s="7" t="s">
        <v>4292</v>
      </c>
      <c r="F178" s="7" t="s">
        <v>4314</v>
      </c>
      <c r="G178" s="7" t="str">
        <f>"48"</f>
        <v>48</v>
      </c>
      <c r="H178" s="7" t="str">
        <f t="shared" si="10"/>
        <v>30026</v>
      </c>
      <c r="I178" s="7" t="s">
        <v>13</v>
      </c>
      <c r="J178" s="7" t="s">
        <v>925</v>
      </c>
      <c r="K178" s="7" t="s">
        <v>224</v>
      </c>
    </row>
    <row r="179" spans="1:11" x14ac:dyDescent="0.3">
      <c r="A179" s="7">
        <v>176</v>
      </c>
      <c r="B179" s="7" t="s">
        <v>4315</v>
      </c>
      <c r="C179" s="7" t="s">
        <v>4316</v>
      </c>
      <c r="D179" s="7" t="s">
        <v>3912</v>
      </c>
      <c r="E179" s="7" t="s">
        <v>4292</v>
      </c>
      <c r="F179" s="7" t="s">
        <v>4296</v>
      </c>
      <c r="G179" s="7" t="str">
        <f>"29"</f>
        <v>29</v>
      </c>
      <c r="H179" s="7" t="str">
        <f t="shared" si="10"/>
        <v>30026</v>
      </c>
      <c r="I179" s="7" t="s">
        <v>13</v>
      </c>
      <c r="J179" s="7" t="s">
        <v>925</v>
      </c>
      <c r="K179" s="7" t="s">
        <v>14</v>
      </c>
    </row>
    <row r="180" spans="1:11" x14ac:dyDescent="0.3">
      <c r="A180" s="20">
        <v>177</v>
      </c>
      <c r="B180" s="20" t="s">
        <v>4317</v>
      </c>
      <c r="C180" s="20" t="s">
        <v>4318</v>
      </c>
      <c r="D180" s="20" t="s">
        <v>3912</v>
      </c>
      <c r="E180" s="20" t="s">
        <v>4292</v>
      </c>
      <c r="F180" s="20" t="s">
        <v>4296</v>
      </c>
      <c r="G180" s="20" t="str">
        <f>"29"</f>
        <v>29</v>
      </c>
      <c r="H180" s="20" t="str">
        <f t="shared" si="10"/>
        <v>30026</v>
      </c>
      <c r="I180" s="20" t="s">
        <v>13</v>
      </c>
      <c r="J180" s="20" t="s">
        <v>928</v>
      </c>
      <c r="K180" s="20" t="s">
        <v>43</v>
      </c>
    </row>
    <row r="181" spans="1:11" x14ac:dyDescent="0.3">
      <c r="A181" s="7">
        <v>178</v>
      </c>
      <c r="B181" s="7" t="s">
        <v>4319</v>
      </c>
      <c r="C181" s="7" t="s">
        <v>4320</v>
      </c>
      <c r="D181" s="7" t="s">
        <v>3912</v>
      </c>
      <c r="E181" s="7" t="s">
        <v>4292</v>
      </c>
      <c r="F181" s="7" t="s">
        <v>4299</v>
      </c>
      <c r="G181" s="7" t="str">
        <f>"6"</f>
        <v>6</v>
      </c>
      <c r="H181" s="7" t="str">
        <f t="shared" si="10"/>
        <v>30026</v>
      </c>
      <c r="I181" s="7" t="s">
        <v>13</v>
      </c>
      <c r="J181" s="7" t="s">
        <v>925</v>
      </c>
      <c r="K181" s="7" t="s">
        <v>36</v>
      </c>
    </row>
    <row r="182" spans="1:11" x14ac:dyDescent="0.3">
      <c r="A182" s="10">
        <v>179</v>
      </c>
      <c r="B182" s="10" t="s">
        <v>4321</v>
      </c>
      <c r="C182" s="10" t="s">
        <v>4322</v>
      </c>
      <c r="D182" s="10" t="s">
        <v>3912</v>
      </c>
      <c r="E182" s="10" t="s">
        <v>4292</v>
      </c>
      <c r="F182" s="10" t="s">
        <v>4323</v>
      </c>
      <c r="G182" s="10" t="str">
        <f>"SNC"</f>
        <v>SNC</v>
      </c>
      <c r="H182" s="10" t="str">
        <f t="shared" si="10"/>
        <v>30026</v>
      </c>
      <c r="I182" s="10" t="s">
        <v>13</v>
      </c>
      <c r="J182" s="10" t="s">
        <v>926</v>
      </c>
      <c r="K182" s="10" t="s">
        <v>224</v>
      </c>
    </row>
    <row r="183" spans="1:11" x14ac:dyDescent="0.3">
      <c r="A183" s="7">
        <v>180</v>
      </c>
      <c r="B183" s="7" t="s">
        <v>4324</v>
      </c>
      <c r="C183" s="7" t="s">
        <v>4325</v>
      </c>
      <c r="D183" s="7" t="s">
        <v>3912</v>
      </c>
      <c r="E183" s="7" t="s">
        <v>4292</v>
      </c>
      <c r="F183" s="7" t="s">
        <v>81</v>
      </c>
      <c r="G183" s="7" t="str">
        <f>"60/A"</f>
        <v>60/A</v>
      </c>
      <c r="H183" s="7" t="str">
        <f t="shared" si="10"/>
        <v>30026</v>
      </c>
      <c r="I183" s="7" t="s">
        <v>13</v>
      </c>
      <c r="J183" s="7" t="s">
        <v>925</v>
      </c>
      <c r="K183" s="7" t="s">
        <v>66</v>
      </c>
    </row>
    <row r="184" spans="1:11" x14ac:dyDescent="0.3">
      <c r="A184" s="10">
        <v>181</v>
      </c>
      <c r="B184" s="10" t="s">
        <v>4326</v>
      </c>
      <c r="C184" s="10" t="s">
        <v>2524</v>
      </c>
      <c r="D184" s="10" t="s">
        <v>3912</v>
      </c>
      <c r="E184" s="10" t="s">
        <v>4292</v>
      </c>
      <c r="F184" s="10" t="s">
        <v>3280</v>
      </c>
      <c r="G184" s="10" t="str">
        <f>"68"</f>
        <v>68</v>
      </c>
      <c r="H184" s="10" t="str">
        <f t="shared" si="10"/>
        <v>30026</v>
      </c>
      <c r="I184" s="10" t="s">
        <v>13</v>
      </c>
      <c r="J184" s="10" t="s">
        <v>926</v>
      </c>
      <c r="K184" s="10" t="s">
        <v>224</v>
      </c>
    </row>
    <row r="185" spans="1:11" x14ac:dyDescent="0.3">
      <c r="A185" s="8">
        <v>182</v>
      </c>
      <c r="B185" s="8" t="s">
        <v>1010</v>
      </c>
      <c r="C185" s="8" t="s">
        <v>110</v>
      </c>
      <c r="D185" s="8" t="s">
        <v>3912</v>
      </c>
      <c r="E185" s="8" t="s">
        <v>4292</v>
      </c>
      <c r="F185" s="8" t="s">
        <v>2670</v>
      </c>
      <c r="G185" s="8" t="str">
        <f>"29"</f>
        <v>29</v>
      </c>
      <c r="H185" s="8" t="str">
        <f t="shared" si="10"/>
        <v>30026</v>
      </c>
      <c r="I185" s="8" t="s">
        <v>13</v>
      </c>
      <c r="J185" s="8" t="s">
        <v>927</v>
      </c>
      <c r="K185" s="8" t="s">
        <v>14</v>
      </c>
    </row>
    <row r="186" spans="1:11" x14ac:dyDescent="0.3">
      <c r="A186" s="7">
        <v>183</v>
      </c>
      <c r="B186" s="7" t="s">
        <v>4327</v>
      </c>
      <c r="C186" s="7" t="s">
        <v>4328</v>
      </c>
      <c r="D186" s="7" t="s">
        <v>3912</v>
      </c>
      <c r="E186" s="7" t="s">
        <v>4292</v>
      </c>
      <c r="F186" s="7" t="s">
        <v>4329</v>
      </c>
      <c r="G186" s="7" t="str">
        <f>"46"</f>
        <v>46</v>
      </c>
      <c r="H186" s="7" t="str">
        <f t="shared" si="10"/>
        <v>30026</v>
      </c>
      <c r="I186" s="7" t="s">
        <v>13</v>
      </c>
      <c r="J186" s="7" t="s">
        <v>925</v>
      </c>
      <c r="K186" s="7" t="s">
        <v>20</v>
      </c>
    </row>
    <row r="187" spans="1:11" x14ac:dyDescent="0.3">
      <c r="A187" s="20">
        <v>184</v>
      </c>
      <c r="B187" s="20" t="s">
        <v>4330</v>
      </c>
      <c r="C187" s="20" t="s">
        <v>296</v>
      </c>
      <c r="D187" s="20" t="s">
        <v>3912</v>
      </c>
      <c r="E187" s="20" t="s">
        <v>4292</v>
      </c>
      <c r="F187" s="20" t="s">
        <v>4296</v>
      </c>
      <c r="G187" s="20" t="str">
        <f>"29"</f>
        <v>29</v>
      </c>
      <c r="H187" s="20" t="str">
        <f t="shared" si="10"/>
        <v>30026</v>
      </c>
      <c r="I187" s="20" t="s">
        <v>13</v>
      </c>
      <c r="J187" s="20" t="s">
        <v>928</v>
      </c>
      <c r="K187" s="20" t="s">
        <v>14</v>
      </c>
    </row>
    <row r="188" spans="1:11" x14ac:dyDescent="0.3">
      <c r="A188" s="10">
        <v>185</v>
      </c>
      <c r="B188" s="10" t="s">
        <v>4331</v>
      </c>
      <c r="C188" s="10" t="s">
        <v>4332</v>
      </c>
      <c r="D188" s="10" t="s">
        <v>3912</v>
      </c>
      <c r="E188" s="10" t="s">
        <v>4292</v>
      </c>
      <c r="F188" s="10" t="s">
        <v>4333</v>
      </c>
      <c r="G188" s="10" t="str">
        <f>"48"</f>
        <v>48</v>
      </c>
      <c r="H188" s="10" t="str">
        <f t="shared" si="10"/>
        <v>30026</v>
      </c>
      <c r="I188" s="10" t="s">
        <v>13</v>
      </c>
      <c r="J188" s="10" t="s">
        <v>926</v>
      </c>
      <c r="K188" s="10" t="s">
        <v>224</v>
      </c>
    </row>
    <row r="189" spans="1:11" x14ac:dyDescent="0.3">
      <c r="A189" s="8">
        <v>186</v>
      </c>
      <c r="B189" s="8" t="s">
        <v>2619</v>
      </c>
      <c r="C189" s="8" t="s">
        <v>2620</v>
      </c>
      <c r="D189" s="8" t="s">
        <v>3912</v>
      </c>
      <c r="E189" s="8" t="s">
        <v>4292</v>
      </c>
      <c r="F189" s="8" t="s">
        <v>4334</v>
      </c>
      <c r="G189" s="8" t="str">
        <f>"91"</f>
        <v>91</v>
      </c>
      <c r="H189" s="8" t="str">
        <f t="shared" si="10"/>
        <v>30026</v>
      </c>
      <c r="I189" s="8" t="s">
        <v>13</v>
      </c>
      <c r="J189" s="8" t="s">
        <v>927</v>
      </c>
      <c r="K189" s="8" t="s">
        <v>20</v>
      </c>
    </row>
    <row r="190" spans="1:11" x14ac:dyDescent="0.3">
      <c r="A190" s="7">
        <v>187</v>
      </c>
      <c r="B190" s="7" t="s">
        <v>4335</v>
      </c>
      <c r="C190" s="7" t="s">
        <v>4336</v>
      </c>
      <c r="D190" s="7" t="s">
        <v>3912</v>
      </c>
      <c r="E190" s="7" t="s">
        <v>4292</v>
      </c>
      <c r="F190" s="7" t="s">
        <v>3280</v>
      </c>
      <c r="G190" s="7" t="str">
        <f>"36"</f>
        <v>36</v>
      </c>
      <c r="H190" s="7" t="str">
        <f t="shared" si="10"/>
        <v>30026</v>
      </c>
      <c r="I190" s="7" t="s">
        <v>13</v>
      </c>
      <c r="J190" s="7" t="s">
        <v>925</v>
      </c>
      <c r="K190" s="7" t="s">
        <v>20</v>
      </c>
    </row>
    <row r="191" spans="1:11" x14ac:dyDescent="0.3">
      <c r="A191" s="8">
        <v>188</v>
      </c>
      <c r="B191" s="8" t="s">
        <v>2244</v>
      </c>
      <c r="C191" s="8" t="s">
        <v>4337</v>
      </c>
      <c r="D191" s="8" t="s">
        <v>3912</v>
      </c>
      <c r="E191" s="8" t="s">
        <v>4292</v>
      </c>
      <c r="F191" s="8" t="s">
        <v>4296</v>
      </c>
      <c r="G191" s="8" t="str">
        <f>"29"</f>
        <v>29</v>
      </c>
      <c r="H191" s="8" t="str">
        <f t="shared" si="10"/>
        <v>30026</v>
      </c>
      <c r="I191" s="8" t="s">
        <v>13</v>
      </c>
      <c r="J191" s="8" t="s">
        <v>927</v>
      </c>
      <c r="K191" s="8" t="s">
        <v>14</v>
      </c>
    </row>
    <row r="192" spans="1:11" x14ac:dyDescent="0.3">
      <c r="A192" s="10">
        <v>189</v>
      </c>
      <c r="B192" s="10" t="s">
        <v>4174</v>
      </c>
      <c r="C192" s="10" t="s">
        <v>4175</v>
      </c>
      <c r="D192" s="10" t="s">
        <v>3912</v>
      </c>
      <c r="E192" s="10" t="s">
        <v>4292</v>
      </c>
      <c r="F192" s="10" t="s">
        <v>4296</v>
      </c>
      <c r="G192" s="10" t="str">
        <f>"31"</f>
        <v>31</v>
      </c>
      <c r="H192" s="10" t="str">
        <f t="shared" si="10"/>
        <v>30026</v>
      </c>
      <c r="I192" s="10" t="s">
        <v>13</v>
      </c>
      <c r="J192" s="10" t="s">
        <v>926</v>
      </c>
      <c r="K192" s="10" t="s">
        <v>20</v>
      </c>
    </row>
    <row r="193" spans="1:11" x14ac:dyDescent="0.3">
      <c r="A193" s="7">
        <v>190</v>
      </c>
      <c r="B193" s="7" t="s">
        <v>4338</v>
      </c>
      <c r="C193" s="7" t="s">
        <v>4339</v>
      </c>
      <c r="D193" s="7" t="s">
        <v>3912</v>
      </c>
      <c r="E193" s="7" t="s">
        <v>4340</v>
      </c>
      <c r="F193" s="7" t="s">
        <v>4341</v>
      </c>
      <c r="G193" s="7" t="str">
        <f>"3"</f>
        <v>3</v>
      </c>
      <c r="H193" s="7" t="str">
        <f t="shared" ref="H193:H200" si="11">"30020"</f>
        <v>30020</v>
      </c>
      <c r="I193" s="7" t="s">
        <v>13</v>
      </c>
      <c r="J193" s="7" t="s">
        <v>925</v>
      </c>
      <c r="K193" s="7" t="s">
        <v>4342</v>
      </c>
    </row>
    <row r="194" spans="1:11" x14ac:dyDescent="0.3">
      <c r="A194" s="10">
        <v>191</v>
      </c>
      <c r="B194" s="10" t="s">
        <v>4343</v>
      </c>
      <c r="C194" s="10" t="s">
        <v>4344</v>
      </c>
      <c r="D194" s="10" t="s">
        <v>3912</v>
      </c>
      <c r="E194" s="10" t="s">
        <v>4345</v>
      </c>
      <c r="F194" s="10" t="s">
        <v>461</v>
      </c>
      <c r="G194" s="10" t="str">
        <f>"106"</f>
        <v>106</v>
      </c>
      <c r="H194" s="10" t="str">
        <f t="shared" si="11"/>
        <v>30020</v>
      </c>
      <c r="I194" s="10" t="s">
        <v>13</v>
      </c>
      <c r="J194" s="10" t="s">
        <v>926</v>
      </c>
      <c r="K194" s="10" t="s">
        <v>777</v>
      </c>
    </row>
    <row r="195" spans="1:11" x14ac:dyDescent="0.3">
      <c r="A195" s="7">
        <v>192</v>
      </c>
      <c r="B195" s="7" t="s">
        <v>4346</v>
      </c>
      <c r="C195" s="7" t="s">
        <v>4347</v>
      </c>
      <c r="D195" s="7" t="s">
        <v>3912</v>
      </c>
      <c r="E195" s="7" t="s">
        <v>4345</v>
      </c>
      <c r="F195" s="7" t="s">
        <v>4348</v>
      </c>
      <c r="G195" s="7" t="str">
        <f>"30/32"</f>
        <v>30/32</v>
      </c>
      <c r="H195" s="7" t="str">
        <f t="shared" si="11"/>
        <v>30020</v>
      </c>
      <c r="I195" s="7" t="s">
        <v>13</v>
      </c>
      <c r="J195" s="7" t="s">
        <v>925</v>
      </c>
      <c r="K195" s="7" t="s">
        <v>58</v>
      </c>
    </row>
    <row r="196" spans="1:11" x14ac:dyDescent="0.3">
      <c r="A196" s="7">
        <v>193</v>
      </c>
      <c r="B196" s="7" t="s">
        <v>4349</v>
      </c>
      <c r="C196" s="7" t="s">
        <v>4350</v>
      </c>
      <c r="D196" s="7" t="s">
        <v>3912</v>
      </c>
      <c r="E196" s="7" t="s">
        <v>4345</v>
      </c>
      <c r="F196" s="7" t="s">
        <v>4351</v>
      </c>
      <c r="G196" s="7" t="str">
        <f>"39"</f>
        <v>39</v>
      </c>
      <c r="H196" s="7" t="str">
        <f t="shared" si="11"/>
        <v>30020</v>
      </c>
      <c r="I196" s="7" t="s">
        <v>13</v>
      </c>
      <c r="J196" s="7" t="s">
        <v>925</v>
      </c>
      <c r="K196" s="7" t="s">
        <v>4352</v>
      </c>
    </row>
    <row r="197" spans="1:11" x14ac:dyDescent="0.3">
      <c r="A197" s="10">
        <v>194</v>
      </c>
      <c r="B197" s="10" t="s">
        <v>4353</v>
      </c>
      <c r="C197" s="10" t="s">
        <v>4354</v>
      </c>
      <c r="D197" s="10" t="s">
        <v>3912</v>
      </c>
      <c r="E197" s="10" t="s">
        <v>4345</v>
      </c>
      <c r="F197" s="10" t="s">
        <v>48</v>
      </c>
      <c r="G197" s="10" t="str">
        <f>"2"</f>
        <v>2</v>
      </c>
      <c r="H197" s="10" t="str">
        <f t="shared" si="11"/>
        <v>30020</v>
      </c>
      <c r="I197" s="10" t="s">
        <v>13</v>
      </c>
      <c r="J197" s="10" t="s">
        <v>926</v>
      </c>
      <c r="K197" s="10" t="s">
        <v>118</v>
      </c>
    </row>
    <row r="198" spans="1:11" x14ac:dyDescent="0.3">
      <c r="A198" s="7">
        <v>195</v>
      </c>
      <c r="B198" s="7" t="s">
        <v>4355</v>
      </c>
      <c r="C198" s="7" t="s">
        <v>4356</v>
      </c>
      <c r="D198" s="7" t="s">
        <v>3912</v>
      </c>
      <c r="E198" s="7" t="s">
        <v>4345</v>
      </c>
      <c r="F198" s="7" t="s">
        <v>48</v>
      </c>
      <c r="G198" s="7" t="str">
        <f>"99"</f>
        <v>99</v>
      </c>
      <c r="H198" s="7" t="str">
        <f t="shared" si="11"/>
        <v>30020</v>
      </c>
      <c r="I198" s="7" t="s">
        <v>13</v>
      </c>
      <c r="J198" s="7" t="s">
        <v>925</v>
      </c>
      <c r="K198" s="7" t="s">
        <v>36</v>
      </c>
    </row>
    <row r="199" spans="1:11" x14ac:dyDescent="0.3">
      <c r="A199" s="7">
        <v>196</v>
      </c>
      <c r="B199" s="7" t="s">
        <v>4357</v>
      </c>
      <c r="C199" s="7" t="s">
        <v>4358</v>
      </c>
      <c r="D199" s="7" t="s">
        <v>3912</v>
      </c>
      <c r="E199" s="7" t="s">
        <v>4345</v>
      </c>
      <c r="F199" s="7" t="s">
        <v>48</v>
      </c>
      <c r="G199" s="7" t="str">
        <f>"29"</f>
        <v>29</v>
      </c>
      <c r="H199" s="7" t="str">
        <f t="shared" si="11"/>
        <v>30020</v>
      </c>
      <c r="I199" s="7" t="s">
        <v>13</v>
      </c>
      <c r="J199" s="7" t="s">
        <v>925</v>
      </c>
      <c r="K199" s="7" t="s">
        <v>14</v>
      </c>
    </row>
    <row r="200" spans="1:11" x14ac:dyDescent="0.3">
      <c r="A200" s="10">
        <v>197</v>
      </c>
      <c r="B200" s="10" t="s">
        <v>4359</v>
      </c>
      <c r="C200" s="10" t="s">
        <v>4360</v>
      </c>
      <c r="D200" s="10" t="s">
        <v>3912</v>
      </c>
      <c r="E200" s="10" t="s">
        <v>4345</v>
      </c>
      <c r="F200" s="10" t="s">
        <v>2840</v>
      </c>
      <c r="G200" s="10" t="str">
        <f>"122"</f>
        <v>122</v>
      </c>
      <c r="H200" s="10" t="str">
        <f t="shared" si="11"/>
        <v>30020</v>
      </c>
      <c r="I200" s="10" t="s">
        <v>13</v>
      </c>
      <c r="J200" s="10" t="s">
        <v>926</v>
      </c>
      <c r="K200" s="10" t="s">
        <v>58</v>
      </c>
    </row>
    <row r="201" spans="1:11" x14ac:dyDescent="0.3">
      <c r="A201" s="7">
        <v>198</v>
      </c>
      <c r="B201" s="7" t="s">
        <v>4361</v>
      </c>
      <c r="C201" s="7" t="s">
        <v>4362</v>
      </c>
      <c r="D201" s="7" t="s">
        <v>3912</v>
      </c>
      <c r="E201" s="7" t="s">
        <v>4363</v>
      </c>
      <c r="F201" s="7" t="s">
        <v>1895</v>
      </c>
      <c r="G201" s="7" t="str">
        <f>"44"</f>
        <v>44</v>
      </c>
      <c r="H201" s="7" t="str">
        <f t="shared" ref="H201:H207" si="12">"30030"</f>
        <v>30030</v>
      </c>
      <c r="I201" s="7" t="s">
        <v>13</v>
      </c>
      <c r="J201" s="7" t="s">
        <v>925</v>
      </c>
      <c r="K201" s="7" t="s">
        <v>36</v>
      </c>
    </row>
    <row r="202" spans="1:11" x14ac:dyDescent="0.3">
      <c r="A202" s="7">
        <v>199</v>
      </c>
      <c r="B202" s="7" t="s">
        <v>4364</v>
      </c>
      <c r="C202" s="7" t="s">
        <v>4365</v>
      </c>
      <c r="D202" s="7" t="s">
        <v>3912</v>
      </c>
      <c r="E202" s="7" t="s">
        <v>4363</v>
      </c>
      <c r="F202" s="7" t="s">
        <v>4072</v>
      </c>
      <c r="G202" s="7" t="str">
        <f>"47"</f>
        <v>47</v>
      </c>
      <c r="H202" s="7" t="str">
        <f t="shared" si="12"/>
        <v>30030</v>
      </c>
      <c r="I202" s="7" t="s">
        <v>13</v>
      </c>
      <c r="J202" s="7" t="s">
        <v>925</v>
      </c>
      <c r="K202" s="7" t="s">
        <v>20</v>
      </c>
    </row>
    <row r="203" spans="1:11" x14ac:dyDescent="0.3">
      <c r="A203" s="8">
        <v>200</v>
      </c>
      <c r="B203" s="8" t="s">
        <v>4366</v>
      </c>
      <c r="C203" s="8" t="s">
        <v>4367</v>
      </c>
      <c r="D203" s="8" t="s">
        <v>3912</v>
      </c>
      <c r="E203" s="8" t="s">
        <v>4363</v>
      </c>
      <c r="F203" s="8" t="s">
        <v>4072</v>
      </c>
      <c r="G203" s="8" t="str">
        <f>"42"</f>
        <v>42</v>
      </c>
      <c r="H203" s="8" t="str">
        <f t="shared" si="12"/>
        <v>30030</v>
      </c>
      <c r="I203" s="8" t="s">
        <v>13</v>
      </c>
      <c r="J203" s="8" t="s">
        <v>927</v>
      </c>
      <c r="K203" s="8" t="s">
        <v>224</v>
      </c>
    </row>
    <row r="204" spans="1:11" x14ac:dyDescent="0.3">
      <c r="A204" s="10">
        <v>201</v>
      </c>
      <c r="B204" s="10" t="s">
        <v>4368</v>
      </c>
      <c r="C204" s="10" t="s">
        <v>2536</v>
      </c>
      <c r="D204" s="10" t="s">
        <v>3912</v>
      </c>
      <c r="E204" s="10" t="s">
        <v>4363</v>
      </c>
      <c r="F204" s="10" t="s">
        <v>48</v>
      </c>
      <c r="G204" s="10" t="str">
        <f>"40/A"</f>
        <v>40/A</v>
      </c>
      <c r="H204" s="10" t="str">
        <f t="shared" si="12"/>
        <v>30030</v>
      </c>
      <c r="I204" s="10" t="s">
        <v>13</v>
      </c>
      <c r="J204" s="10" t="s">
        <v>926</v>
      </c>
      <c r="K204" s="10" t="s">
        <v>14</v>
      </c>
    </row>
    <row r="205" spans="1:11" x14ac:dyDescent="0.3">
      <c r="A205" s="8">
        <v>202</v>
      </c>
      <c r="B205" s="8" t="s">
        <v>4369</v>
      </c>
      <c r="C205" s="8" t="s">
        <v>4370</v>
      </c>
      <c r="D205" s="8" t="s">
        <v>3912</v>
      </c>
      <c r="E205" s="8" t="s">
        <v>4363</v>
      </c>
      <c r="F205" s="8" t="s">
        <v>2122</v>
      </c>
      <c r="G205" s="8" t="str">
        <f>"76"</f>
        <v>76</v>
      </c>
      <c r="H205" s="8" t="str">
        <f t="shared" si="12"/>
        <v>30030</v>
      </c>
      <c r="I205" s="8" t="s">
        <v>13</v>
      </c>
      <c r="J205" s="8" t="s">
        <v>927</v>
      </c>
      <c r="K205" s="8" t="s">
        <v>58</v>
      </c>
    </row>
    <row r="206" spans="1:11" x14ac:dyDescent="0.3">
      <c r="A206" s="8">
        <v>203</v>
      </c>
      <c r="B206" s="8" t="s">
        <v>1626</v>
      </c>
      <c r="C206" s="8" t="s">
        <v>4363</v>
      </c>
      <c r="D206" s="8" t="s">
        <v>3912</v>
      </c>
      <c r="E206" s="8" t="s">
        <v>4363</v>
      </c>
      <c r="F206" s="8" t="s">
        <v>4371</v>
      </c>
      <c r="G206" s="8" t="str">
        <f>"1"</f>
        <v>1</v>
      </c>
      <c r="H206" s="8" t="str">
        <f t="shared" si="12"/>
        <v>30030</v>
      </c>
      <c r="I206" s="8" t="s">
        <v>13</v>
      </c>
      <c r="J206" s="8" t="s">
        <v>927</v>
      </c>
      <c r="K206" s="8" t="s">
        <v>14</v>
      </c>
    </row>
    <row r="207" spans="1:11" x14ac:dyDescent="0.3">
      <c r="A207" s="20">
        <v>204</v>
      </c>
      <c r="B207" s="20" t="s">
        <v>4372</v>
      </c>
      <c r="C207" s="20" t="s">
        <v>4373</v>
      </c>
      <c r="D207" s="20" t="s">
        <v>3912</v>
      </c>
      <c r="E207" s="20" t="s">
        <v>4363</v>
      </c>
      <c r="F207" s="20" t="s">
        <v>3498</v>
      </c>
      <c r="G207" s="20" t="str">
        <f>"5/A"</f>
        <v>5/A</v>
      </c>
      <c r="H207" s="20" t="str">
        <f t="shared" si="12"/>
        <v>30030</v>
      </c>
      <c r="I207" s="20" t="s">
        <v>13</v>
      </c>
      <c r="J207" s="20" t="s">
        <v>928</v>
      </c>
      <c r="K207" s="20" t="s">
        <v>14</v>
      </c>
    </row>
    <row r="208" spans="1:11" x14ac:dyDescent="0.3">
      <c r="A208" s="7">
        <v>205</v>
      </c>
      <c r="B208" s="7" t="s">
        <v>4374</v>
      </c>
      <c r="C208" s="7" t="s">
        <v>4375</v>
      </c>
      <c r="D208" s="7" t="s">
        <v>3912</v>
      </c>
      <c r="E208" s="7" t="s">
        <v>4376</v>
      </c>
      <c r="F208" s="7" t="s">
        <v>81</v>
      </c>
      <c r="G208" s="7" t="str">
        <f>"67"</f>
        <v>67</v>
      </c>
      <c r="H208" s="7" t="str">
        <f t="shared" ref="H208:H230" si="13">"30027"</f>
        <v>30027</v>
      </c>
      <c r="I208" s="7" t="s">
        <v>13</v>
      </c>
      <c r="J208" s="7" t="s">
        <v>925</v>
      </c>
      <c r="K208" s="7" t="s">
        <v>14</v>
      </c>
    </row>
    <row r="209" spans="1:11" x14ac:dyDescent="0.3">
      <c r="A209" s="7">
        <v>206</v>
      </c>
      <c r="B209" s="7" t="s">
        <v>4377</v>
      </c>
      <c r="C209" s="7" t="s">
        <v>4378</v>
      </c>
      <c r="D209" s="7" t="s">
        <v>3912</v>
      </c>
      <c r="E209" s="7" t="s">
        <v>4376</v>
      </c>
      <c r="F209" s="7" t="s">
        <v>1941</v>
      </c>
      <c r="G209" s="7" t="str">
        <f>"9"</f>
        <v>9</v>
      </c>
      <c r="H209" s="7" t="str">
        <f t="shared" si="13"/>
        <v>30027</v>
      </c>
      <c r="I209" s="7" t="s">
        <v>13</v>
      </c>
      <c r="J209" s="7" t="s">
        <v>925</v>
      </c>
      <c r="K209" s="7" t="s">
        <v>20</v>
      </c>
    </row>
    <row r="210" spans="1:11" x14ac:dyDescent="0.3">
      <c r="A210" s="8">
        <v>207</v>
      </c>
      <c r="B210" s="8" t="s">
        <v>1626</v>
      </c>
      <c r="C210" s="8" t="s">
        <v>892</v>
      </c>
      <c r="D210" s="8" t="s">
        <v>3912</v>
      </c>
      <c r="E210" s="8" t="s">
        <v>4376</v>
      </c>
      <c r="F210" s="8" t="s">
        <v>4379</v>
      </c>
      <c r="G210" s="8" t="str">
        <f>"63"</f>
        <v>63</v>
      </c>
      <c r="H210" s="8" t="str">
        <f t="shared" si="13"/>
        <v>30027</v>
      </c>
      <c r="I210" s="8" t="s">
        <v>13</v>
      </c>
      <c r="J210" s="8" t="s">
        <v>927</v>
      </c>
      <c r="K210" s="8" t="s">
        <v>14</v>
      </c>
    </row>
    <row r="211" spans="1:11" x14ac:dyDescent="0.3">
      <c r="A211" s="8">
        <v>208</v>
      </c>
      <c r="B211" s="8" t="s">
        <v>2677</v>
      </c>
      <c r="C211" s="8" t="s">
        <v>4380</v>
      </c>
      <c r="D211" s="8" t="s">
        <v>3912</v>
      </c>
      <c r="E211" s="8" t="s">
        <v>4376</v>
      </c>
      <c r="F211" s="8" t="s">
        <v>4381</v>
      </c>
      <c r="G211" s="8" t="str">
        <f>"43"</f>
        <v>43</v>
      </c>
      <c r="H211" s="8" t="str">
        <f t="shared" si="13"/>
        <v>30027</v>
      </c>
      <c r="I211" s="8" t="s">
        <v>13</v>
      </c>
      <c r="J211" s="8" t="s">
        <v>927</v>
      </c>
      <c r="K211" s="8" t="s">
        <v>66</v>
      </c>
    </row>
    <row r="212" spans="1:11" x14ac:dyDescent="0.3">
      <c r="A212" s="7">
        <v>209</v>
      </c>
      <c r="B212" s="7" t="s">
        <v>4382</v>
      </c>
      <c r="C212" s="7" t="s">
        <v>4383</v>
      </c>
      <c r="D212" s="7" t="s">
        <v>3912</v>
      </c>
      <c r="E212" s="7" t="s">
        <v>4376</v>
      </c>
      <c r="F212" s="7" t="s">
        <v>4384</v>
      </c>
      <c r="G212" s="7" t="str">
        <f>"18"</f>
        <v>18</v>
      </c>
      <c r="H212" s="7" t="str">
        <f t="shared" si="13"/>
        <v>30027</v>
      </c>
      <c r="I212" s="7" t="s">
        <v>13</v>
      </c>
      <c r="J212" s="7" t="s">
        <v>925</v>
      </c>
      <c r="K212" s="7" t="s">
        <v>14</v>
      </c>
    </row>
    <row r="213" spans="1:11" x14ac:dyDescent="0.3">
      <c r="A213" s="7">
        <v>210</v>
      </c>
      <c r="B213" s="7" t="s">
        <v>4385</v>
      </c>
      <c r="C213" s="7" t="s">
        <v>4386</v>
      </c>
      <c r="D213" s="7" t="s">
        <v>3912</v>
      </c>
      <c r="E213" s="7" t="s">
        <v>4376</v>
      </c>
      <c r="F213" s="7" t="s">
        <v>4387</v>
      </c>
      <c r="G213" s="7" t="str">
        <f>"14"</f>
        <v>14</v>
      </c>
      <c r="H213" s="7" t="str">
        <f t="shared" si="13"/>
        <v>30027</v>
      </c>
      <c r="I213" s="7" t="s">
        <v>13</v>
      </c>
      <c r="J213" s="7" t="s">
        <v>925</v>
      </c>
      <c r="K213" s="7" t="s">
        <v>27</v>
      </c>
    </row>
    <row r="214" spans="1:11" x14ac:dyDescent="0.3">
      <c r="A214" s="10">
        <v>211</v>
      </c>
      <c r="B214" s="10" t="s">
        <v>4388</v>
      </c>
      <c r="C214" s="10" t="s">
        <v>4389</v>
      </c>
      <c r="D214" s="10" t="s">
        <v>3912</v>
      </c>
      <c r="E214" s="10" t="s">
        <v>4376</v>
      </c>
      <c r="F214" s="10" t="s">
        <v>2683</v>
      </c>
      <c r="G214" s="10" t="str">
        <f>"8"</f>
        <v>8</v>
      </c>
      <c r="H214" s="10" t="str">
        <f t="shared" si="13"/>
        <v>30027</v>
      </c>
      <c r="I214" s="10" t="s">
        <v>13</v>
      </c>
      <c r="J214" s="10" t="s">
        <v>926</v>
      </c>
      <c r="K214" s="10" t="s">
        <v>66</v>
      </c>
    </row>
    <row r="215" spans="1:11" x14ac:dyDescent="0.3">
      <c r="A215" s="7">
        <v>212</v>
      </c>
      <c r="B215" s="7" t="s">
        <v>4390</v>
      </c>
      <c r="C215" s="7" t="s">
        <v>4391</v>
      </c>
      <c r="D215" s="7" t="s">
        <v>3912</v>
      </c>
      <c r="E215" s="7" t="s">
        <v>4376</v>
      </c>
      <c r="F215" s="7" t="s">
        <v>4392</v>
      </c>
      <c r="G215" s="7" t="str">
        <f>"53"</f>
        <v>53</v>
      </c>
      <c r="H215" s="7" t="str">
        <f t="shared" si="13"/>
        <v>30027</v>
      </c>
      <c r="I215" s="7" t="s">
        <v>13</v>
      </c>
      <c r="J215" s="7" t="s">
        <v>925</v>
      </c>
      <c r="K215" s="7" t="s">
        <v>43</v>
      </c>
    </row>
    <row r="216" spans="1:11" x14ac:dyDescent="0.3">
      <c r="A216" s="7">
        <v>213</v>
      </c>
      <c r="B216" s="7" t="s">
        <v>4270</v>
      </c>
      <c r="C216" s="7" t="s">
        <v>4393</v>
      </c>
      <c r="D216" s="7" t="s">
        <v>3912</v>
      </c>
      <c r="E216" s="7" t="s">
        <v>4376</v>
      </c>
      <c r="F216" s="7" t="s">
        <v>4394</v>
      </c>
      <c r="G216" s="7" t="str">
        <f>"1"</f>
        <v>1</v>
      </c>
      <c r="H216" s="7" t="str">
        <f t="shared" si="13"/>
        <v>30027</v>
      </c>
      <c r="I216" s="7" t="s">
        <v>13</v>
      </c>
      <c r="J216" s="7" t="s">
        <v>925</v>
      </c>
      <c r="K216" s="7" t="s">
        <v>95</v>
      </c>
    </row>
    <row r="217" spans="1:11" x14ac:dyDescent="0.3">
      <c r="A217" s="7">
        <v>214</v>
      </c>
      <c r="B217" s="7" t="s">
        <v>4395</v>
      </c>
      <c r="C217" s="7" t="s">
        <v>1907</v>
      </c>
      <c r="D217" s="7" t="s">
        <v>3912</v>
      </c>
      <c r="E217" s="7" t="s">
        <v>4376</v>
      </c>
      <c r="F217" s="7" t="s">
        <v>4384</v>
      </c>
      <c r="G217" s="7" t="str">
        <f>"77"</f>
        <v>77</v>
      </c>
      <c r="H217" s="7" t="str">
        <f t="shared" si="13"/>
        <v>30027</v>
      </c>
      <c r="I217" s="7" t="s">
        <v>13</v>
      </c>
      <c r="J217" s="7" t="s">
        <v>925</v>
      </c>
      <c r="K217" s="7" t="s">
        <v>224</v>
      </c>
    </row>
    <row r="218" spans="1:11" x14ac:dyDescent="0.3">
      <c r="A218" s="8">
        <v>215</v>
      </c>
      <c r="B218" s="8" t="s">
        <v>1010</v>
      </c>
      <c r="C218" s="8" t="s">
        <v>110</v>
      </c>
      <c r="D218" s="8" t="s">
        <v>3912</v>
      </c>
      <c r="E218" s="8" t="s">
        <v>4376</v>
      </c>
      <c r="F218" s="8" t="s">
        <v>4396</v>
      </c>
      <c r="G218" s="8" t="str">
        <f>"9"</f>
        <v>9</v>
      </c>
      <c r="H218" s="8" t="str">
        <f t="shared" si="13"/>
        <v>30027</v>
      </c>
      <c r="I218" s="8" t="s">
        <v>13</v>
      </c>
      <c r="J218" s="8" t="s">
        <v>927</v>
      </c>
      <c r="K218" s="8" t="s">
        <v>14</v>
      </c>
    </row>
    <row r="219" spans="1:11" x14ac:dyDescent="0.3">
      <c r="A219" s="8">
        <v>216</v>
      </c>
      <c r="B219" s="8" t="s">
        <v>1010</v>
      </c>
      <c r="C219" s="8" t="s">
        <v>110</v>
      </c>
      <c r="D219" s="8" t="s">
        <v>3912</v>
      </c>
      <c r="E219" s="8" t="s">
        <v>4376</v>
      </c>
      <c r="F219" s="8" t="s">
        <v>2405</v>
      </c>
      <c r="G219" s="8" t="str">
        <f>"28"</f>
        <v>28</v>
      </c>
      <c r="H219" s="8" t="str">
        <f t="shared" si="13"/>
        <v>30027</v>
      </c>
      <c r="I219" s="8" t="s">
        <v>13</v>
      </c>
      <c r="J219" s="8" t="s">
        <v>927</v>
      </c>
      <c r="K219" s="8" t="s">
        <v>14</v>
      </c>
    </row>
    <row r="220" spans="1:11" x14ac:dyDescent="0.3">
      <c r="A220" s="8">
        <v>217</v>
      </c>
      <c r="B220" s="8" t="s">
        <v>1010</v>
      </c>
      <c r="C220" s="8" t="s">
        <v>110</v>
      </c>
      <c r="D220" s="8" t="s">
        <v>3912</v>
      </c>
      <c r="E220" s="8" t="s">
        <v>4376</v>
      </c>
      <c r="F220" s="8" t="s">
        <v>4397</v>
      </c>
      <c r="G220" s="8" t="str">
        <f>"8"</f>
        <v>8</v>
      </c>
      <c r="H220" s="8" t="str">
        <f t="shared" si="13"/>
        <v>30027</v>
      </c>
      <c r="I220" s="8" t="s">
        <v>13</v>
      </c>
      <c r="J220" s="8" t="s">
        <v>927</v>
      </c>
      <c r="K220" s="8" t="s">
        <v>14</v>
      </c>
    </row>
    <row r="221" spans="1:11" x14ac:dyDescent="0.3">
      <c r="A221" s="10">
        <v>218</v>
      </c>
      <c r="B221" s="10" t="s">
        <v>4398</v>
      </c>
      <c r="C221" s="10" t="s">
        <v>4399</v>
      </c>
      <c r="D221" s="10" t="s">
        <v>3912</v>
      </c>
      <c r="E221" s="10" t="s">
        <v>4376</v>
      </c>
      <c r="F221" s="10" t="s">
        <v>4400</v>
      </c>
      <c r="G221" s="10" t="str">
        <f>"13"</f>
        <v>13</v>
      </c>
      <c r="H221" s="10" t="str">
        <f t="shared" si="13"/>
        <v>30027</v>
      </c>
      <c r="I221" s="10" t="s">
        <v>13</v>
      </c>
      <c r="J221" s="10" t="s">
        <v>926</v>
      </c>
      <c r="K221" s="10" t="s">
        <v>43</v>
      </c>
    </row>
    <row r="222" spans="1:11" x14ac:dyDescent="0.3">
      <c r="A222" s="10">
        <v>219</v>
      </c>
      <c r="B222" s="10" t="s">
        <v>4401</v>
      </c>
      <c r="C222" s="10" t="s">
        <v>383</v>
      </c>
      <c r="D222" s="10" t="s">
        <v>3912</v>
      </c>
      <c r="E222" s="10" t="s">
        <v>4376</v>
      </c>
      <c r="F222" s="10" t="s">
        <v>4402</v>
      </c>
      <c r="G222" s="10" t="str">
        <f>"3"</f>
        <v>3</v>
      </c>
      <c r="H222" s="10" t="str">
        <f t="shared" si="13"/>
        <v>30027</v>
      </c>
      <c r="I222" s="10" t="s">
        <v>13</v>
      </c>
      <c r="J222" s="10" t="s">
        <v>926</v>
      </c>
      <c r="K222" s="10" t="s">
        <v>224</v>
      </c>
    </row>
    <row r="223" spans="1:11" x14ac:dyDescent="0.3">
      <c r="A223" s="7">
        <v>220</v>
      </c>
      <c r="B223" s="7" t="s">
        <v>2776</v>
      </c>
      <c r="C223" s="7" t="s">
        <v>467</v>
      </c>
      <c r="D223" s="7" t="s">
        <v>3912</v>
      </c>
      <c r="E223" s="7" t="s">
        <v>4376</v>
      </c>
      <c r="F223" s="7" t="s">
        <v>2683</v>
      </c>
      <c r="G223" s="7" t="str">
        <f>"12"</f>
        <v>12</v>
      </c>
      <c r="H223" s="7" t="str">
        <f t="shared" si="13"/>
        <v>30027</v>
      </c>
      <c r="I223" s="7" t="s">
        <v>13</v>
      </c>
      <c r="J223" s="7" t="s">
        <v>925</v>
      </c>
      <c r="K223" s="7" t="s">
        <v>43</v>
      </c>
    </row>
    <row r="224" spans="1:11" x14ac:dyDescent="0.3">
      <c r="A224" s="7">
        <v>221</v>
      </c>
      <c r="B224" s="7" t="s">
        <v>4403</v>
      </c>
      <c r="C224" s="7" t="s">
        <v>4404</v>
      </c>
      <c r="D224" s="7" t="s">
        <v>3912</v>
      </c>
      <c r="E224" s="7" t="s">
        <v>4376</v>
      </c>
      <c r="F224" s="7" t="s">
        <v>4405</v>
      </c>
      <c r="G224" s="7" t="str">
        <f>"18"</f>
        <v>18</v>
      </c>
      <c r="H224" s="7" t="str">
        <f t="shared" si="13"/>
        <v>30027</v>
      </c>
      <c r="I224" s="7" t="s">
        <v>13</v>
      </c>
      <c r="J224" s="7" t="s">
        <v>925</v>
      </c>
      <c r="K224" s="7" t="s">
        <v>36</v>
      </c>
    </row>
    <row r="225" spans="1:11" x14ac:dyDescent="0.3">
      <c r="A225" s="8">
        <v>222</v>
      </c>
      <c r="B225" s="8" t="s">
        <v>2619</v>
      </c>
      <c r="C225" s="8" t="s">
        <v>2620</v>
      </c>
      <c r="D225" s="8" t="s">
        <v>3912</v>
      </c>
      <c r="E225" s="8" t="s">
        <v>4376</v>
      </c>
      <c r="F225" s="8" t="s">
        <v>4406</v>
      </c>
      <c r="G225" s="8" t="str">
        <f>"1"</f>
        <v>1</v>
      </c>
      <c r="H225" s="8" t="str">
        <f t="shared" si="13"/>
        <v>30027</v>
      </c>
      <c r="I225" s="8" t="s">
        <v>13</v>
      </c>
      <c r="J225" s="8" t="s">
        <v>927</v>
      </c>
      <c r="K225" s="8" t="s">
        <v>20</v>
      </c>
    </row>
    <row r="226" spans="1:11" x14ac:dyDescent="0.3">
      <c r="A226" s="8">
        <v>223</v>
      </c>
      <c r="B226" s="8" t="s">
        <v>1000</v>
      </c>
      <c r="C226" s="8" t="s">
        <v>4407</v>
      </c>
      <c r="D226" s="8" t="s">
        <v>3912</v>
      </c>
      <c r="E226" s="8" t="s">
        <v>4376</v>
      </c>
      <c r="F226" s="8" t="s">
        <v>4408</v>
      </c>
      <c r="G226" s="8" t="str">
        <f>"132/M"</f>
        <v>132/M</v>
      </c>
      <c r="H226" s="8" t="str">
        <f t="shared" si="13"/>
        <v>30027</v>
      </c>
      <c r="I226" s="8" t="s">
        <v>13</v>
      </c>
      <c r="J226" s="8" t="s">
        <v>927</v>
      </c>
      <c r="K226" s="8" t="s">
        <v>14</v>
      </c>
    </row>
    <row r="227" spans="1:11" x14ac:dyDescent="0.3">
      <c r="A227" s="10">
        <v>224</v>
      </c>
      <c r="B227" s="10" t="s">
        <v>4174</v>
      </c>
      <c r="C227" s="10" t="s">
        <v>4175</v>
      </c>
      <c r="D227" s="10" t="s">
        <v>3912</v>
      </c>
      <c r="E227" s="10" t="s">
        <v>4376</v>
      </c>
      <c r="F227" s="10" t="s">
        <v>4379</v>
      </c>
      <c r="G227" s="10" t="str">
        <f>"2"</f>
        <v>2</v>
      </c>
      <c r="H227" s="10" t="str">
        <f t="shared" si="13"/>
        <v>30027</v>
      </c>
      <c r="I227" s="10" t="s">
        <v>13</v>
      </c>
      <c r="J227" s="10" t="s">
        <v>926</v>
      </c>
      <c r="K227" s="10" t="s">
        <v>20</v>
      </c>
    </row>
    <row r="228" spans="1:11" x14ac:dyDescent="0.3">
      <c r="A228" s="8">
        <v>225</v>
      </c>
      <c r="B228" s="8" t="s">
        <v>4104</v>
      </c>
      <c r="C228" s="8" t="s">
        <v>4105</v>
      </c>
      <c r="D228" s="8" t="s">
        <v>3912</v>
      </c>
      <c r="E228" s="8" t="s">
        <v>4376</v>
      </c>
      <c r="F228" s="8" t="s">
        <v>4392</v>
      </c>
      <c r="G228" s="8" t="str">
        <f>"12"</f>
        <v>12</v>
      </c>
      <c r="H228" s="8" t="str">
        <f t="shared" si="13"/>
        <v>30027</v>
      </c>
      <c r="I228" s="8" t="s">
        <v>13</v>
      </c>
      <c r="J228" s="8" t="s">
        <v>927</v>
      </c>
      <c r="K228" s="8" t="s">
        <v>20</v>
      </c>
    </row>
    <row r="229" spans="1:11" x14ac:dyDescent="0.3">
      <c r="A229" s="10">
        <v>226</v>
      </c>
      <c r="B229" s="10" t="s">
        <v>4409</v>
      </c>
      <c r="C229" s="10" t="s">
        <v>4410</v>
      </c>
      <c r="D229" s="10" t="s">
        <v>3912</v>
      </c>
      <c r="E229" s="10" t="s">
        <v>4376</v>
      </c>
      <c r="F229" s="10" t="s">
        <v>4411</v>
      </c>
      <c r="G229" s="10" t="str">
        <f>"22"</f>
        <v>22</v>
      </c>
      <c r="H229" s="10" t="str">
        <f t="shared" si="13"/>
        <v>30027</v>
      </c>
      <c r="I229" s="10" t="s">
        <v>13</v>
      </c>
      <c r="J229" s="10" t="s">
        <v>926</v>
      </c>
      <c r="K229" s="10" t="s">
        <v>20</v>
      </c>
    </row>
    <row r="230" spans="1:11" x14ac:dyDescent="0.3">
      <c r="A230" s="7">
        <v>227</v>
      </c>
      <c r="B230" s="7" t="s">
        <v>4412</v>
      </c>
      <c r="C230" s="7" t="s">
        <v>4413</v>
      </c>
      <c r="D230" s="7" t="s">
        <v>3912</v>
      </c>
      <c r="E230" s="7" t="s">
        <v>4376</v>
      </c>
      <c r="F230" s="7" t="s">
        <v>2683</v>
      </c>
      <c r="G230" s="7" t="str">
        <f>"5"</f>
        <v>5</v>
      </c>
      <c r="H230" s="7" t="str">
        <f t="shared" si="13"/>
        <v>30027</v>
      </c>
      <c r="I230" s="7" t="s">
        <v>13</v>
      </c>
      <c r="J230" s="7" t="s">
        <v>925</v>
      </c>
      <c r="K230" s="7" t="s">
        <v>58</v>
      </c>
    </row>
    <row r="231" spans="1:11" x14ac:dyDescent="0.3">
      <c r="A231" s="8">
        <v>228</v>
      </c>
      <c r="B231" s="8" t="s">
        <v>931</v>
      </c>
      <c r="C231" s="8" t="s">
        <v>101</v>
      </c>
      <c r="D231" s="8" t="s">
        <v>3912</v>
      </c>
      <c r="E231" s="8" t="s">
        <v>4414</v>
      </c>
      <c r="F231" s="8" t="s">
        <v>4415</v>
      </c>
      <c r="G231" s="8" t="str">
        <f>"14"</f>
        <v>14</v>
      </c>
      <c r="H231" s="8" t="str">
        <f t="shared" ref="H231:H236" si="14">"30028"</f>
        <v>30028</v>
      </c>
      <c r="I231" s="8" t="s">
        <v>13</v>
      </c>
      <c r="J231" s="8" t="s">
        <v>927</v>
      </c>
      <c r="K231" s="8" t="s">
        <v>14</v>
      </c>
    </row>
    <row r="232" spans="1:11" x14ac:dyDescent="0.3">
      <c r="A232" s="7">
        <v>229</v>
      </c>
      <c r="B232" s="7" t="s">
        <v>4416</v>
      </c>
      <c r="C232" s="7" t="s">
        <v>4417</v>
      </c>
      <c r="D232" s="7" t="s">
        <v>3912</v>
      </c>
      <c r="E232" s="7" t="s">
        <v>4414</v>
      </c>
      <c r="F232" s="7" t="s">
        <v>4418</v>
      </c>
      <c r="G232" s="7" t="str">
        <f>"14"</f>
        <v>14</v>
      </c>
      <c r="H232" s="7" t="str">
        <f t="shared" si="14"/>
        <v>30028</v>
      </c>
      <c r="I232" s="7" t="s">
        <v>13</v>
      </c>
      <c r="J232" s="7" t="s">
        <v>925</v>
      </c>
      <c r="K232" s="7" t="s">
        <v>14</v>
      </c>
    </row>
    <row r="233" spans="1:11" x14ac:dyDescent="0.3">
      <c r="A233" s="7">
        <v>230</v>
      </c>
      <c r="B233" s="7" t="s">
        <v>4419</v>
      </c>
      <c r="C233" s="7" t="s">
        <v>4420</v>
      </c>
      <c r="D233" s="7" t="s">
        <v>3912</v>
      </c>
      <c r="E233" s="7" t="s">
        <v>4414</v>
      </c>
      <c r="F233" s="7" t="s">
        <v>4421</v>
      </c>
      <c r="G233" s="7" t="str">
        <f>"5"</f>
        <v>5</v>
      </c>
      <c r="H233" s="7" t="str">
        <f t="shared" si="14"/>
        <v>30028</v>
      </c>
      <c r="I233" s="7" t="s">
        <v>13</v>
      </c>
      <c r="J233" s="7" t="s">
        <v>925</v>
      </c>
      <c r="K233" s="7" t="s">
        <v>14</v>
      </c>
    </row>
    <row r="234" spans="1:11" x14ac:dyDescent="0.3">
      <c r="A234" s="7">
        <v>231</v>
      </c>
      <c r="B234" s="7" t="s">
        <v>4422</v>
      </c>
      <c r="C234" s="7" t="s">
        <v>4423</v>
      </c>
      <c r="D234" s="7" t="s">
        <v>3912</v>
      </c>
      <c r="E234" s="7" t="s">
        <v>4414</v>
      </c>
      <c r="F234" s="7" t="s">
        <v>3989</v>
      </c>
      <c r="G234" s="7" t="str">
        <f>"8"</f>
        <v>8</v>
      </c>
      <c r="H234" s="7" t="str">
        <f t="shared" si="14"/>
        <v>30028</v>
      </c>
      <c r="I234" s="7" t="s">
        <v>13</v>
      </c>
      <c r="J234" s="7" t="s">
        <v>925</v>
      </c>
      <c r="K234" s="7" t="s">
        <v>1652</v>
      </c>
    </row>
    <row r="235" spans="1:11" x14ac:dyDescent="0.3">
      <c r="A235" s="7">
        <v>232</v>
      </c>
      <c r="B235" s="7" t="s">
        <v>4424</v>
      </c>
      <c r="C235" s="7" t="s">
        <v>4425</v>
      </c>
      <c r="D235" s="7" t="s">
        <v>3912</v>
      </c>
      <c r="E235" s="7" t="s">
        <v>4414</v>
      </c>
      <c r="F235" s="7" t="s">
        <v>4426</v>
      </c>
      <c r="G235" s="7" t="str">
        <f>"166"</f>
        <v>166</v>
      </c>
      <c r="H235" s="7" t="str">
        <f t="shared" si="14"/>
        <v>30028</v>
      </c>
      <c r="I235" s="7" t="s">
        <v>13</v>
      </c>
      <c r="J235" s="7" t="s">
        <v>925</v>
      </c>
      <c r="K235" s="7" t="s">
        <v>14</v>
      </c>
    </row>
    <row r="236" spans="1:11" x14ac:dyDescent="0.3">
      <c r="A236" s="8">
        <v>233</v>
      </c>
      <c r="B236" s="8" t="s">
        <v>4104</v>
      </c>
      <c r="C236" s="8" t="s">
        <v>4105</v>
      </c>
      <c r="D236" s="8" t="s">
        <v>3912</v>
      </c>
      <c r="E236" s="8" t="s">
        <v>4414</v>
      </c>
      <c r="F236" s="8" t="s">
        <v>4427</v>
      </c>
      <c r="G236" s="8" t="str">
        <f>"3"</f>
        <v>3</v>
      </c>
      <c r="H236" s="8" t="str">
        <f t="shared" si="14"/>
        <v>30028</v>
      </c>
      <c r="I236" s="8" t="s">
        <v>13</v>
      </c>
      <c r="J236" s="8" t="s">
        <v>927</v>
      </c>
      <c r="K236" s="8" t="s">
        <v>14</v>
      </c>
    </row>
    <row r="237" spans="1:11" x14ac:dyDescent="0.3">
      <c r="A237" s="10">
        <v>234</v>
      </c>
      <c r="B237" s="10" t="s">
        <v>4428</v>
      </c>
      <c r="C237" s="10" t="s">
        <v>4429</v>
      </c>
      <c r="D237" s="10" t="s">
        <v>3912</v>
      </c>
      <c r="E237" s="10" t="s">
        <v>4430</v>
      </c>
      <c r="F237" s="10" t="s">
        <v>4431</v>
      </c>
      <c r="G237" s="10" t="str">
        <f>"11"</f>
        <v>11</v>
      </c>
      <c r="H237" s="10" t="str">
        <f>"30029"</f>
        <v>30029</v>
      </c>
      <c r="I237" s="10" t="s">
        <v>13</v>
      </c>
      <c r="J237" s="10" t="s">
        <v>926</v>
      </c>
      <c r="K237" s="10" t="s">
        <v>43</v>
      </c>
    </row>
    <row r="238" spans="1:11" x14ac:dyDescent="0.3">
      <c r="A238" s="7">
        <v>235</v>
      </c>
      <c r="B238" s="7" t="s">
        <v>4432</v>
      </c>
      <c r="C238" s="7" t="s">
        <v>4433</v>
      </c>
      <c r="D238" s="7" t="s">
        <v>3912</v>
      </c>
      <c r="E238" s="7" t="s">
        <v>4430</v>
      </c>
      <c r="F238" s="7" t="s">
        <v>4434</v>
      </c>
      <c r="G238" s="7" t="str">
        <f>"2"</f>
        <v>2</v>
      </c>
      <c r="H238" s="7" t="str">
        <f>"30029"</f>
        <v>30029</v>
      </c>
      <c r="I238" s="7" t="s">
        <v>13</v>
      </c>
      <c r="J238" s="7" t="s">
        <v>925</v>
      </c>
      <c r="K238" s="7" t="s">
        <v>20</v>
      </c>
    </row>
    <row r="239" spans="1:11" x14ac:dyDescent="0.3">
      <c r="A239" s="8">
        <v>236</v>
      </c>
      <c r="B239" s="8" t="s">
        <v>2764</v>
      </c>
      <c r="C239" s="8" t="s">
        <v>1712</v>
      </c>
      <c r="D239" s="8" t="s">
        <v>3912</v>
      </c>
      <c r="E239" s="8" t="s">
        <v>4430</v>
      </c>
      <c r="F239" s="8" t="s">
        <v>679</v>
      </c>
      <c r="G239" s="8" t="str">
        <f>"2"</f>
        <v>2</v>
      </c>
      <c r="H239" s="8" t="str">
        <f>"30029"</f>
        <v>30029</v>
      </c>
      <c r="I239" s="8" t="s">
        <v>13</v>
      </c>
      <c r="J239" s="8" t="s">
        <v>927</v>
      </c>
      <c r="K239" s="8" t="s">
        <v>195</v>
      </c>
    </row>
    <row r="240" spans="1:11" x14ac:dyDescent="0.3">
      <c r="A240" s="7">
        <v>237</v>
      </c>
      <c r="B240" s="7" t="s">
        <v>4435</v>
      </c>
      <c r="C240" s="7" t="s">
        <v>4436</v>
      </c>
      <c r="D240" s="7" t="s">
        <v>3912</v>
      </c>
      <c r="E240" s="7" t="s">
        <v>4430</v>
      </c>
      <c r="F240" s="7" t="s">
        <v>4437</v>
      </c>
      <c r="G240" s="7" t="str">
        <f>"75"</f>
        <v>75</v>
      </c>
      <c r="H240" s="7" t="str">
        <f>"30029"</f>
        <v>30029</v>
      </c>
      <c r="I240" s="7" t="s">
        <v>13</v>
      </c>
      <c r="J240" s="7" t="s">
        <v>925</v>
      </c>
      <c r="K240" s="7" t="s">
        <v>14</v>
      </c>
    </row>
    <row r="241" spans="1:11" x14ac:dyDescent="0.3">
      <c r="A241" s="7">
        <v>238</v>
      </c>
      <c r="B241" s="7" t="s">
        <v>4438</v>
      </c>
      <c r="C241" s="7" t="s">
        <v>4439</v>
      </c>
      <c r="D241" s="7" t="s">
        <v>3912</v>
      </c>
      <c r="E241" s="7" t="s">
        <v>4430</v>
      </c>
      <c r="F241" s="7" t="s">
        <v>4440</v>
      </c>
      <c r="G241" s="7" t="str">
        <f>"1"</f>
        <v>1</v>
      </c>
      <c r="H241" s="7" t="str">
        <f>"30029"</f>
        <v>30029</v>
      </c>
      <c r="I241" s="7" t="s">
        <v>13</v>
      </c>
      <c r="J241" s="7" t="s">
        <v>925</v>
      </c>
      <c r="K241" s="7" t="s">
        <v>14</v>
      </c>
    </row>
    <row r="242" spans="1:11" x14ac:dyDescent="0.3">
      <c r="A242" s="8">
        <v>239</v>
      </c>
      <c r="B242" s="8" t="s">
        <v>4441</v>
      </c>
      <c r="C242" s="8" t="s">
        <v>4442</v>
      </c>
      <c r="D242" s="8" t="s">
        <v>3912</v>
      </c>
      <c r="E242" s="8" t="s">
        <v>4443</v>
      </c>
      <c r="F242" s="8" t="s">
        <v>4444</v>
      </c>
      <c r="G242" s="8" t="str">
        <f>"52"</f>
        <v>52</v>
      </c>
      <c r="H242" s="8" t="str">
        <f>"30036"</f>
        <v>30036</v>
      </c>
      <c r="I242" s="8" t="s">
        <v>13</v>
      </c>
      <c r="J242" s="8" t="s">
        <v>927</v>
      </c>
      <c r="K242" s="8" t="s">
        <v>20</v>
      </c>
    </row>
    <row r="243" spans="1:11" x14ac:dyDescent="0.3">
      <c r="A243" s="7">
        <v>240</v>
      </c>
      <c r="B243" s="7" t="s">
        <v>4445</v>
      </c>
      <c r="C243" s="7" t="s">
        <v>4446</v>
      </c>
      <c r="D243" s="7" t="s">
        <v>3912</v>
      </c>
      <c r="E243" s="7" t="s">
        <v>4443</v>
      </c>
      <c r="F243" s="7" t="s">
        <v>1964</v>
      </c>
      <c r="G243" s="7" t="str">
        <f>"7"</f>
        <v>7</v>
      </c>
      <c r="H243" s="7" t="str">
        <f>"30036"</f>
        <v>30036</v>
      </c>
      <c r="I243" s="7" t="s">
        <v>13</v>
      </c>
      <c r="J243" s="7" t="s">
        <v>925</v>
      </c>
      <c r="K243" s="7" t="s">
        <v>156</v>
      </c>
    </row>
    <row r="244" spans="1:11" x14ac:dyDescent="0.3">
      <c r="A244" s="8">
        <v>241</v>
      </c>
      <c r="B244" s="8" t="s">
        <v>4447</v>
      </c>
      <c r="C244" s="8" t="s">
        <v>4448</v>
      </c>
      <c r="D244" s="8" t="s">
        <v>3912</v>
      </c>
      <c r="E244" s="8" t="s">
        <v>4443</v>
      </c>
      <c r="F244" s="8" t="s">
        <v>916</v>
      </c>
      <c r="G244" s="8" t="str">
        <f>"34"</f>
        <v>34</v>
      </c>
      <c r="H244" s="8" t="str">
        <f>"30036"</f>
        <v>30036</v>
      </c>
      <c r="I244" s="8" t="s">
        <v>13</v>
      </c>
      <c r="J244" s="8" t="s">
        <v>927</v>
      </c>
      <c r="K244" s="8" t="s">
        <v>14</v>
      </c>
    </row>
    <row r="245" spans="1:11" x14ac:dyDescent="0.3">
      <c r="A245" s="8">
        <v>242</v>
      </c>
      <c r="B245" s="8" t="s">
        <v>4449</v>
      </c>
      <c r="C245" s="8" t="s">
        <v>4450</v>
      </c>
      <c r="D245" s="8" t="s">
        <v>3912</v>
      </c>
      <c r="E245" s="8" t="s">
        <v>4451</v>
      </c>
      <c r="F245" s="8" t="s">
        <v>4452</v>
      </c>
      <c r="G245" s="8" t="str">
        <f>"146"</f>
        <v>146</v>
      </c>
      <c r="H245" s="8" t="str">
        <f t="shared" ref="H245:H251" si="15">"30037"</f>
        <v>30037</v>
      </c>
      <c r="I245" s="8" t="s">
        <v>13</v>
      </c>
      <c r="J245" s="8" t="s">
        <v>927</v>
      </c>
      <c r="K245" s="8" t="s">
        <v>20</v>
      </c>
    </row>
    <row r="246" spans="1:11" x14ac:dyDescent="0.3">
      <c r="A246" s="8">
        <v>243</v>
      </c>
      <c r="B246" s="8" t="s">
        <v>990</v>
      </c>
      <c r="C246" s="8" t="s">
        <v>4453</v>
      </c>
      <c r="D246" s="8" t="s">
        <v>3912</v>
      </c>
      <c r="E246" s="8" t="s">
        <v>4451</v>
      </c>
      <c r="F246" s="8" t="s">
        <v>2595</v>
      </c>
      <c r="G246" s="8" t="str">
        <f>"11"</f>
        <v>11</v>
      </c>
      <c r="H246" s="8" t="str">
        <f t="shared" si="15"/>
        <v>30037</v>
      </c>
      <c r="I246" s="8" t="s">
        <v>13</v>
      </c>
      <c r="J246" s="8" t="s">
        <v>927</v>
      </c>
      <c r="K246" s="8" t="s">
        <v>14</v>
      </c>
    </row>
    <row r="247" spans="1:11" x14ac:dyDescent="0.3">
      <c r="A247" s="7">
        <v>244</v>
      </c>
      <c r="B247" s="7" t="s">
        <v>4454</v>
      </c>
      <c r="C247" s="7" t="s">
        <v>4455</v>
      </c>
      <c r="D247" s="7" t="s">
        <v>3912</v>
      </c>
      <c r="E247" s="7" t="s">
        <v>4451</v>
      </c>
      <c r="F247" s="7" t="s">
        <v>4456</v>
      </c>
      <c r="G247" s="7" t="str">
        <f>"17"</f>
        <v>17</v>
      </c>
      <c r="H247" s="7" t="str">
        <f t="shared" si="15"/>
        <v>30037</v>
      </c>
      <c r="I247" s="7" t="s">
        <v>13</v>
      </c>
      <c r="J247" s="7" t="s">
        <v>925</v>
      </c>
      <c r="K247" s="7" t="s">
        <v>814</v>
      </c>
    </row>
    <row r="248" spans="1:11" x14ac:dyDescent="0.3">
      <c r="A248" s="7">
        <v>245</v>
      </c>
      <c r="B248" s="7" t="s">
        <v>4457</v>
      </c>
      <c r="C248" s="7" t="s">
        <v>4458</v>
      </c>
      <c r="D248" s="7" t="s">
        <v>3912</v>
      </c>
      <c r="E248" s="7" t="s">
        <v>4451</v>
      </c>
      <c r="F248" s="7" t="s">
        <v>335</v>
      </c>
      <c r="G248" s="7" t="str">
        <f>"166"</f>
        <v>166</v>
      </c>
      <c r="H248" s="7" t="str">
        <f t="shared" si="15"/>
        <v>30037</v>
      </c>
      <c r="I248" s="7" t="s">
        <v>13</v>
      </c>
      <c r="J248" s="7" t="s">
        <v>925</v>
      </c>
      <c r="K248" s="7" t="s">
        <v>14</v>
      </c>
    </row>
    <row r="249" spans="1:11" x14ac:dyDescent="0.3">
      <c r="A249" s="8">
        <v>246</v>
      </c>
      <c r="B249" s="8" t="s">
        <v>1010</v>
      </c>
      <c r="C249" s="8" t="s">
        <v>110</v>
      </c>
      <c r="D249" s="8" t="s">
        <v>3912</v>
      </c>
      <c r="E249" s="8" t="s">
        <v>4451</v>
      </c>
      <c r="F249" s="8" t="s">
        <v>4459</v>
      </c>
      <c r="G249" s="8" t="str">
        <f>"2"</f>
        <v>2</v>
      </c>
      <c r="H249" s="8" t="str">
        <f t="shared" si="15"/>
        <v>30037</v>
      </c>
      <c r="I249" s="8" t="s">
        <v>13</v>
      </c>
      <c r="J249" s="8" t="s">
        <v>927</v>
      </c>
      <c r="K249" s="8" t="s">
        <v>14</v>
      </c>
    </row>
    <row r="250" spans="1:11" x14ac:dyDescent="0.3">
      <c r="A250" s="7">
        <v>247</v>
      </c>
      <c r="B250" s="7" t="s">
        <v>4460</v>
      </c>
      <c r="C250" s="7" t="s">
        <v>4461</v>
      </c>
      <c r="D250" s="7" t="s">
        <v>3912</v>
      </c>
      <c r="E250" s="7" t="s">
        <v>4451</v>
      </c>
      <c r="F250" s="7" t="s">
        <v>2595</v>
      </c>
      <c r="G250" s="7" t="str">
        <f>"136"</f>
        <v>136</v>
      </c>
      <c r="H250" s="7" t="str">
        <f t="shared" si="15"/>
        <v>30037</v>
      </c>
      <c r="I250" s="7" t="s">
        <v>13</v>
      </c>
      <c r="J250" s="7" t="s">
        <v>925</v>
      </c>
      <c r="K250" s="7" t="s">
        <v>20</v>
      </c>
    </row>
    <row r="251" spans="1:11" x14ac:dyDescent="0.3">
      <c r="A251" s="8">
        <v>248</v>
      </c>
      <c r="B251" s="8" t="s">
        <v>1000</v>
      </c>
      <c r="C251" s="8" t="s">
        <v>4462</v>
      </c>
      <c r="D251" s="8" t="s">
        <v>3912</v>
      </c>
      <c r="E251" s="8" t="s">
        <v>4451</v>
      </c>
      <c r="F251" s="8" t="s">
        <v>4463</v>
      </c>
      <c r="G251" s="8" t="str">
        <f>"1"</f>
        <v>1</v>
      </c>
      <c r="H251" s="8" t="str">
        <f t="shared" si="15"/>
        <v>30037</v>
      </c>
      <c r="I251" s="8" t="s">
        <v>13</v>
      </c>
      <c r="J251" s="8" t="s">
        <v>927</v>
      </c>
      <c r="K251" s="8" t="s">
        <v>1701</v>
      </c>
    </row>
    <row r="252" spans="1:11" x14ac:dyDescent="0.3">
      <c r="A252" s="10">
        <v>249</v>
      </c>
      <c r="B252" s="10" t="s">
        <v>4464</v>
      </c>
      <c r="C252" s="10" t="s">
        <v>4465</v>
      </c>
      <c r="D252" s="10" t="s">
        <v>3912</v>
      </c>
      <c r="E252" s="10" t="s">
        <v>4466</v>
      </c>
      <c r="F252" s="10" t="s">
        <v>831</v>
      </c>
      <c r="G252" s="10" t="str">
        <f>"4/A"</f>
        <v>4/A</v>
      </c>
      <c r="H252" s="10" t="str">
        <f>"30038"</f>
        <v>30038</v>
      </c>
      <c r="I252" s="10" t="s">
        <v>13</v>
      </c>
      <c r="J252" s="10" t="s">
        <v>926</v>
      </c>
      <c r="K252" s="10" t="s">
        <v>14</v>
      </c>
    </row>
    <row r="253" spans="1:11" x14ac:dyDescent="0.3">
      <c r="A253" s="20">
        <v>250</v>
      </c>
      <c r="B253" s="20" t="s">
        <v>4467</v>
      </c>
      <c r="C253" s="20" t="s">
        <v>4468</v>
      </c>
      <c r="D253" s="20" t="s">
        <v>3912</v>
      </c>
      <c r="E253" s="20" t="s">
        <v>4466</v>
      </c>
      <c r="F253" s="20" t="s">
        <v>4469</v>
      </c>
      <c r="G253" s="20" t="str">
        <f>"1"</f>
        <v>1</v>
      </c>
      <c r="H253" s="20" t="str">
        <f>"30038"</f>
        <v>30038</v>
      </c>
      <c r="I253" s="20" t="s">
        <v>13</v>
      </c>
      <c r="J253" s="20" t="s">
        <v>928</v>
      </c>
      <c r="K253" s="20" t="s">
        <v>14</v>
      </c>
    </row>
    <row r="254" spans="1:11" x14ac:dyDescent="0.3">
      <c r="A254" s="8">
        <v>251</v>
      </c>
      <c r="B254" s="8" t="s">
        <v>1626</v>
      </c>
      <c r="C254" s="8" t="s">
        <v>2317</v>
      </c>
      <c r="D254" s="8" t="s">
        <v>3912</v>
      </c>
      <c r="E254" s="8" t="s">
        <v>4466</v>
      </c>
      <c r="F254" s="8" t="s">
        <v>4470</v>
      </c>
      <c r="G254" s="8" t="str">
        <f>"121"</f>
        <v>121</v>
      </c>
      <c r="H254" s="8" t="str">
        <f>"30038"</f>
        <v>30038</v>
      </c>
      <c r="I254" s="8" t="s">
        <v>13</v>
      </c>
      <c r="J254" s="8" t="s">
        <v>927</v>
      </c>
      <c r="K254" s="8" t="s">
        <v>14</v>
      </c>
    </row>
    <row r="255" spans="1:11" x14ac:dyDescent="0.3">
      <c r="A255" s="20">
        <v>252</v>
      </c>
      <c r="B255" s="20" t="s">
        <v>4471</v>
      </c>
      <c r="C255" s="20" t="s">
        <v>4472</v>
      </c>
      <c r="D255" s="20" t="s">
        <v>3912</v>
      </c>
      <c r="E255" s="20" t="s">
        <v>4466</v>
      </c>
      <c r="F255" s="20" t="s">
        <v>2024</v>
      </c>
      <c r="G255" s="20" t="str">
        <f>"12/B"</f>
        <v>12/B</v>
      </c>
      <c r="H255" s="20" t="str">
        <f>"30038"</f>
        <v>30038</v>
      </c>
      <c r="I255" s="20" t="s">
        <v>13</v>
      </c>
      <c r="J255" s="20" t="s">
        <v>928</v>
      </c>
      <c r="K255" s="20" t="s">
        <v>14</v>
      </c>
    </row>
    <row r="256" spans="1:11" x14ac:dyDescent="0.3">
      <c r="A256" s="7">
        <v>253</v>
      </c>
      <c r="B256" s="7" t="s">
        <v>4473</v>
      </c>
      <c r="C256" s="7" t="s">
        <v>4474</v>
      </c>
      <c r="D256" s="7" t="s">
        <v>3912</v>
      </c>
      <c r="E256" s="7" t="s">
        <v>4466</v>
      </c>
      <c r="F256" s="7" t="s">
        <v>679</v>
      </c>
      <c r="G256" s="7" t="str">
        <f>"15/17"</f>
        <v>15/17</v>
      </c>
      <c r="H256" s="7" t="str">
        <f>"30038"</f>
        <v>30038</v>
      </c>
      <c r="I256" s="7" t="s">
        <v>13</v>
      </c>
      <c r="J256" s="7" t="s">
        <v>925</v>
      </c>
      <c r="K256" s="7" t="s">
        <v>1701</v>
      </c>
    </row>
    <row r="257" spans="1:11" x14ac:dyDescent="0.3">
      <c r="A257" s="10">
        <v>254</v>
      </c>
      <c r="B257" s="10" t="s">
        <v>4475</v>
      </c>
      <c r="C257" s="10" t="s">
        <v>4476</v>
      </c>
      <c r="D257" s="10" t="s">
        <v>3912</v>
      </c>
      <c r="E257" s="10" t="s">
        <v>383</v>
      </c>
      <c r="F257" s="10" t="s">
        <v>4477</v>
      </c>
      <c r="G257" s="10" t="str">
        <f>"1"</f>
        <v>1</v>
      </c>
      <c r="H257" s="10" t="str">
        <f>"30175"</f>
        <v>30175</v>
      </c>
      <c r="I257" s="10" t="s">
        <v>13</v>
      </c>
      <c r="J257" s="10" t="s">
        <v>926</v>
      </c>
      <c r="K257" s="10" t="s">
        <v>14</v>
      </c>
    </row>
    <row r="258" spans="1:11" x14ac:dyDescent="0.3">
      <c r="A258" s="10">
        <v>255</v>
      </c>
      <c r="B258" s="10" t="s">
        <v>4478</v>
      </c>
      <c r="C258" s="10" t="s">
        <v>4479</v>
      </c>
      <c r="D258" s="10" t="s">
        <v>3912</v>
      </c>
      <c r="E258" s="10" t="s">
        <v>383</v>
      </c>
      <c r="F258" s="10" t="s">
        <v>4480</v>
      </c>
      <c r="G258" s="10" t="str">
        <f>"4186"</f>
        <v>4186</v>
      </c>
      <c r="H258" s="10" t="str">
        <f>"30121"</f>
        <v>30121</v>
      </c>
      <c r="I258" s="10" t="s">
        <v>13</v>
      </c>
      <c r="J258" s="10" t="s">
        <v>926</v>
      </c>
      <c r="K258" s="10" t="s">
        <v>165</v>
      </c>
    </row>
    <row r="259" spans="1:11" x14ac:dyDescent="0.3">
      <c r="A259" s="7">
        <v>256</v>
      </c>
      <c r="B259" s="7" t="s">
        <v>4481</v>
      </c>
      <c r="C259" s="7" t="s">
        <v>4482</v>
      </c>
      <c r="D259" s="7" t="s">
        <v>3912</v>
      </c>
      <c r="E259" s="7" t="s">
        <v>383</v>
      </c>
      <c r="F259" s="7" t="s">
        <v>4483</v>
      </c>
      <c r="G259" s="7" t="str">
        <f>"7/9"</f>
        <v>7/9</v>
      </c>
      <c r="H259" s="7" t="str">
        <f>"30175"</f>
        <v>30175</v>
      </c>
      <c r="I259" s="7" t="s">
        <v>13</v>
      </c>
      <c r="J259" s="7" t="s">
        <v>925</v>
      </c>
      <c r="K259" s="7" t="s">
        <v>14</v>
      </c>
    </row>
    <row r="260" spans="1:11" x14ac:dyDescent="0.3">
      <c r="A260" s="20">
        <v>257</v>
      </c>
      <c r="B260" s="20" t="s">
        <v>4481</v>
      </c>
      <c r="C260" s="20" t="s">
        <v>4482</v>
      </c>
      <c r="D260" s="20" t="s">
        <v>3912</v>
      </c>
      <c r="E260" s="20" t="s">
        <v>383</v>
      </c>
      <c r="F260" s="20" t="s">
        <v>48</v>
      </c>
      <c r="G260" s="20" t="str">
        <f>"13"</f>
        <v>13</v>
      </c>
      <c r="H260" s="20" t="str">
        <f>"30172"</f>
        <v>30172</v>
      </c>
      <c r="I260" s="20" t="s">
        <v>13</v>
      </c>
      <c r="J260" s="20" t="s">
        <v>928</v>
      </c>
      <c r="K260" s="20" t="s">
        <v>139</v>
      </c>
    </row>
    <row r="261" spans="1:11" x14ac:dyDescent="0.3">
      <c r="A261" s="7">
        <v>258</v>
      </c>
      <c r="B261" s="7" t="s">
        <v>4484</v>
      </c>
      <c r="C261" s="7" t="s">
        <v>4485</v>
      </c>
      <c r="D261" s="7" t="s">
        <v>3912</v>
      </c>
      <c r="E261" s="7" t="s">
        <v>383</v>
      </c>
      <c r="F261" s="7" t="s">
        <v>4486</v>
      </c>
      <c r="G261" s="7" t="str">
        <f>"24"</f>
        <v>24</v>
      </c>
      <c r="H261" s="7" t="str">
        <f>"30175"</f>
        <v>30175</v>
      </c>
      <c r="I261" s="7" t="s">
        <v>13</v>
      </c>
      <c r="J261" s="7" t="s">
        <v>925</v>
      </c>
      <c r="K261" s="7" t="s">
        <v>139</v>
      </c>
    </row>
    <row r="262" spans="1:11" x14ac:dyDescent="0.3">
      <c r="A262" s="7">
        <v>259</v>
      </c>
      <c r="B262" s="7" t="s">
        <v>4487</v>
      </c>
      <c r="C262" s="7" t="s">
        <v>4488</v>
      </c>
      <c r="D262" s="7" t="s">
        <v>3912</v>
      </c>
      <c r="E262" s="7" t="s">
        <v>383</v>
      </c>
      <c r="F262" s="7" t="s">
        <v>4489</v>
      </c>
      <c r="G262" s="7" t="str">
        <f>"195/E"</f>
        <v>195/E</v>
      </c>
      <c r="H262" s="7" t="str">
        <f>"30173"</f>
        <v>30173</v>
      </c>
      <c r="I262" s="7" t="s">
        <v>13</v>
      </c>
      <c r="J262" s="7" t="s">
        <v>925</v>
      </c>
      <c r="K262" s="7" t="s">
        <v>2864</v>
      </c>
    </row>
    <row r="263" spans="1:11" x14ac:dyDescent="0.3">
      <c r="A263" s="7">
        <v>260</v>
      </c>
      <c r="B263" s="7" t="s">
        <v>4490</v>
      </c>
      <c r="C263" s="7" t="s">
        <v>4491</v>
      </c>
      <c r="D263" s="7" t="s">
        <v>3912</v>
      </c>
      <c r="E263" s="7" t="s">
        <v>383</v>
      </c>
      <c r="F263" s="7" t="s">
        <v>4492</v>
      </c>
      <c r="G263" s="7" t="str">
        <f>"141/A"</f>
        <v>141/A</v>
      </c>
      <c r="H263" s="7" t="str">
        <f>"30173"</f>
        <v>30173</v>
      </c>
      <c r="I263" s="7" t="s">
        <v>13</v>
      </c>
      <c r="J263" s="7" t="s">
        <v>925</v>
      </c>
      <c r="K263" s="7" t="s">
        <v>2924</v>
      </c>
    </row>
    <row r="264" spans="1:11" x14ac:dyDescent="0.3">
      <c r="A264" s="7">
        <v>261</v>
      </c>
      <c r="B264" s="7" t="s">
        <v>4493</v>
      </c>
      <c r="C264" s="7" t="s">
        <v>4494</v>
      </c>
      <c r="D264" s="7" t="s">
        <v>3912</v>
      </c>
      <c r="E264" s="7" t="s">
        <v>383</v>
      </c>
      <c r="F264" s="7" t="s">
        <v>4495</v>
      </c>
      <c r="G264" s="7" t="str">
        <f>"11"</f>
        <v>11</v>
      </c>
      <c r="H264" s="7" t="str">
        <f>"30175"</f>
        <v>30175</v>
      </c>
      <c r="I264" s="7" t="s">
        <v>13</v>
      </c>
      <c r="J264" s="7" t="s">
        <v>925</v>
      </c>
      <c r="K264" s="7" t="s">
        <v>36</v>
      </c>
    </row>
    <row r="265" spans="1:11" x14ac:dyDescent="0.3">
      <c r="A265" s="10">
        <v>262</v>
      </c>
      <c r="B265" s="10" t="s">
        <v>4496</v>
      </c>
      <c r="C265" s="10" t="s">
        <v>4497</v>
      </c>
      <c r="D265" s="10" t="s">
        <v>3912</v>
      </c>
      <c r="E265" s="10" t="s">
        <v>383</v>
      </c>
      <c r="F265" s="10" t="s">
        <v>4498</v>
      </c>
      <c r="G265" s="10" t="str">
        <f>"8"</f>
        <v>8</v>
      </c>
      <c r="H265" s="10" t="str">
        <f>"30175"</f>
        <v>30175</v>
      </c>
      <c r="I265" s="10" t="s">
        <v>13</v>
      </c>
      <c r="J265" s="10" t="s">
        <v>926</v>
      </c>
      <c r="K265" s="10" t="s">
        <v>572</v>
      </c>
    </row>
    <row r="266" spans="1:11" x14ac:dyDescent="0.3">
      <c r="A266" s="10">
        <v>263</v>
      </c>
      <c r="B266" s="10" t="s">
        <v>4499</v>
      </c>
      <c r="C266" s="10" t="s">
        <v>4500</v>
      </c>
      <c r="D266" s="10" t="s">
        <v>3912</v>
      </c>
      <c r="E266" s="10" t="s">
        <v>383</v>
      </c>
      <c r="F266" s="10" t="s">
        <v>4501</v>
      </c>
      <c r="G266" s="10" t="str">
        <f>"4585"</f>
        <v>4585</v>
      </c>
      <c r="H266" s="10" t="str">
        <f>"30100"</f>
        <v>30100</v>
      </c>
      <c r="I266" s="10" t="s">
        <v>13</v>
      </c>
      <c r="J266" s="10" t="s">
        <v>926</v>
      </c>
      <c r="K266" s="10" t="s">
        <v>43</v>
      </c>
    </row>
    <row r="267" spans="1:11" x14ac:dyDescent="0.3">
      <c r="A267" s="7">
        <v>264</v>
      </c>
      <c r="B267" s="7" t="s">
        <v>4502</v>
      </c>
      <c r="C267" s="7" t="s">
        <v>4503</v>
      </c>
      <c r="D267" s="7" t="s">
        <v>3912</v>
      </c>
      <c r="E267" s="7" t="s">
        <v>383</v>
      </c>
      <c r="F267" s="7" t="s">
        <v>4504</v>
      </c>
      <c r="G267" s="7" t="str">
        <f>"656"</f>
        <v>656</v>
      </c>
      <c r="H267" s="7" t="str">
        <f>"30135"</f>
        <v>30135</v>
      </c>
      <c r="I267" s="7" t="s">
        <v>13</v>
      </c>
      <c r="J267" s="7" t="s">
        <v>925</v>
      </c>
      <c r="K267" s="7" t="s">
        <v>14</v>
      </c>
    </row>
    <row r="268" spans="1:11" x14ac:dyDescent="0.3">
      <c r="A268" s="10">
        <v>265</v>
      </c>
      <c r="B268" s="10" t="s">
        <v>4505</v>
      </c>
      <c r="C268" s="10" t="s">
        <v>4506</v>
      </c>
      <c r="D268" s="10" t="s">
        <v>3912</v>
      </c>
      <c r="E268" s="10" t="s">
        <v>383</v>
      </c>
      <c r="F268" s="10" t="s">
        <v>4507</v>
      </c>
      <c r="G268" s="10" t="str">
        <f>"225/a"</f>
        <v>225/a</v>
      </c>
      <c r="H268" s="10" t="str">
        <f>"30121"</f>
        <v>30121</v>
      </c>
      <c r="I268" s="10" t="s">
        <v>13</v>
      </c>
      <c r="J268" s="10" t="s">
        <v>926</v>
      </c>
      <c r="K268" s="10" t="s">
        <v>14</v>
      </c>
    </row>
    <row r="269" spans="1:11" x14ac:dyDescent="0.3">
      <c r="A269" s="7">
        <v>266</v>
      </c>
      <c r="B269" s="7" t="s">
        <v>4508</v>
      </c>
      <c r="C269" s="7" t="s">
        <v>4509</v>
      </c>
      <c r="D269" s="7" t="s">
        <v>3912</v>
      </c>
      <c r="E269" s="7" t="s">
        <v>383</v>
      </c>
      <c r="F269" s="7" t="s">
        <v>4510</v>
      </c>
      <c r="G269" s="7" t="str">
        <f>"236"</f>
        <v>236</v>
      </c>
      <c r="H269" s="7" t="str">
        <f>"30173"</f>
        <v>30173</v>
      </c>
      <c r="I269" s="7" t="s">
        <v>13</v>
      </c>
      <c r="J269" s="7" t="s">
        <v>925</v>
      </c>
      <c r="K269" s="7" t="s">
        <v>4511</v>
      </c>
    </row>
    <row r="270" spans="1:11" x14ac:dyDescent="0.3">
      <c r="A270" s="8">
        <v>267</v>
      </c>
      <c r="B270" s="8" t="s">
        <v>4512</v>
      </c>
      <c r="C270" s="8" t="s">
        <v>4513</v>
      </c>
      <c r="D270" s="8" t="s">
        <v>3912</v>
      </c>
      <c r="E270" s="8" t="s">
        <v>383</v>
      </c>
      <c r="F270" s="8" t="s">
        <v>4514</v>
      </c>
      <c r="G270" s="8" t="str">
        <f>"214"</f>
        <v>214</v>
      </c>
      <c r="H270" s="8" t="str">
        <f>"30125"</f>
        <v>30125</v>
      </c>
      <c r="I270" s="8" t="s">
        <v>13</v>
      </c>
      <c r="J270" s="8" t="s">
        <v>927</v>
      </c>
      <c r="K270" s="8" t="s">
        <v>20</v>
      </c>
    </row>
    <row r="271" spans="1:11" x14ac:dyDescent="0.3">
      <c r="A271" s="7">
        <v>268</v>
      </c>
      <c r="B271" s="7" t="s">
        <v>4515</v>
      </c>
      <c r="C271" s="7" t="s">
        <v>4516</v>
      </c>
      <c r="D271" s="7" t="s">
        <v>3912</v>
      </c>
      <c r="E271" s="7" t="s">
        <v>383</v>
      </c>
      <c r="F271" s="7" t="s">
        <v>4517</v>
      </c>
      <c r="G271" s="7" t="str">
        <f>"198"</f>
        <v>198</v>
      </c>
      <c r="H271" s="7" t="str">
        <f>"30176"</f>
        <v>30176</v>
      </c>
      <c r="I271" s="7" t="s">
        <v>13</v>
      </c>
      <c r="J271" s="7" t="s">
        <v>925</v>
      </c>
      <c r="K271" s="7" t="s">
        <v>125</v>
      </c>
    </row>
    <row r="272" spans="1:11" x14ac:dyDescent="0.3">
      <c r="A272" s="7">
        <v>269</v>
      </c>
      <c r="B272" s="7" t="s">
        <v>4518</v>
      </c>
      <c r="C272" s="7" t="s">
        <v>4519</v>
      </c>
      <c r="D272" s="7" t="s">
        <v>3912</v>
      </c>
      <c r="E272" s="7" t="s">
        <v>383</v>
      </c>
      <c r="F272" s="7" t="s">
        <v>4520</v>
      </c>
      <c r="G272" s="7" t="str">
        <f>"393"</f>
        <v>393</v>
      </c>
      <c r="H272" s="7" t="str">
        <f>"30135"</f>
        <v>30135</v>
      </c>
      <c r="I272" s="7" t="s">
        <v>13</v>
      </c>
      <c r="J272" s="7" t="s">
        <v>925</v>
      </c>
      <c r="K272" s="7" t="s">
        <v>43</v>
      </c>
    </row>
    <row r="273" spans="1:11" x14ac:dyDescent="0.3">
      <c r="A273" s="8">
        <v>270</v>
      </c>
      <c r="B273" s="8" t="s">
        <v>4521</v>
      </c>
      <c r="C273" s="8" t="s">
        <v>4522</v>
      </c>
      <c r="D273" s="8" t="s">
        <v>3912</v>
      </c>
      <c r="E273" s="8" t="s">
        <v>383</v>
      </c>
      <c r="F273" s="8" t="s">
        <v>4523</v>
      </c>
      <c r="G273" s="8" t="str">
        <f>"82"</f>
        <v>82</v>
      </c>
      <c r="H273" s="8" t="str">
        <f>"30174"</f>
        <v>30174</v>
      </c>
      <c r="I273" s="8" t="s">
        <v>13</v>
      </c>
      <c r="J273" s="8" t="s">
        <v>927</v>
      </c>
      <c r="K273" s="8" t="s">
        <v>115</v>
      </c>
    </row>
    <row r="274" spans="1:11" x14ac:dyDescent="0.3">
      <c r="A274" s="7">
        <v>271</v>
      </c>
      <c r="B274" s="7" t="s">
        <v>4524</v>
      </c>
      <c r="C274" s="7" t="s">
        <v>4525</v>
      </c>
      <c r="D274" s="7" t="s">
        <v>3912</v>
      </c>
      <c r="E274" s="7" t="s">
        <v>383</v>
      </c>
      <c r="F274" s="7" t="s">
        <v>337</v>
      </c>
      <c r="G274" s="7" t="str">
        <f>"22"</f>
        <v>22</v>
      </c>
      <c r="H274" s="7" t="str">
        <f>"30175"</f>
        <v>30175</v>
      </c>
      <c r="I274" s="7" t="s">
        <v>13</v>
      </c>
      <c r="J274" s="7" t="s">
        <v>925</v>
      </c>
      <c r="K274" s="7" t="s">
        <v>20</v>
      </c>
    </row>
    <row r="275" spans="1:11" x14ac:dyDescent="0.3">
      <c r="A275" s="7">
        <v>272</v>
      </c>
      <c r="B275" s="7" t="s">
        <v>4526</v>
      </c>
      <c r="C275" s="7" t="s">
        <v>4527</v>
      </c>
      <c r="D275" s="7" t="s">
        <v>3912</v>
      </c>
      <c r="E275" s="7" t="s">
        <v>383</v>
      </c>
      <c r="F275" s="7" t="s">
        <v>4528</v>
      </c>
      <c r="G275" s="7" t="str">
        <f>"8"</f>
        <v>8</v>
      </c>
      <c r="H275" s="7" t="str">
        <f>"30175"</f>
        <v>30175</v>
      </c>
      <c r="I275" s="7" t="s">
        <v>13</v>
      </c>
      <c r="J275" s="7" t="s">
        <v>925</v>
      </c>
      <c r="K275" s="7" t="s">
        <v>20</v>
      </c>
    </row>
    <row r="276" spans="1:11" x14ac:dyDescent="0.3">
      <c r="A276" s="8">
        <v>273</v>
      </c>
      <c r="B276" s="8" t="s">
        <v>931</v>
      </c>
      <c r="C276" s="8" t="s">
        <v>9</v>
      </c>
      <c r="D276" s="8" t="s">
        <v>3912</v>
      </c>
      <c r="E276" s="8" t="s">
        <v>383</v>
      </c>
      <c r="F276" s="8" t="s">
        <v>4529</v>
      </c>
      <c r="G276" s="8" t="str">
        <f>"18"</f>
        <v>18</v>
      </c>
      <c r="H276" s="8" t="str">
        <f>"30174"</f>
        <v>30174</v>
      </c>
      <c r="I276" s="8" t="s">
        <v>13</v>
      </c>
      <c r="J276" s="8" t="s">
        <v>927</v>
      </c>
      <c r="K276" s="8" t="s">
        <v>14</v>
      </c>
    </row>
    <row r="277" spans="1:11" x14ac:dyDescent="0.3">
      <c r="A277" s="8">
        <v>274</v>
      </c>
      <c r="B277" s="8" t="s">
        <v>931</v>
      </c>
      <c r="C277" s="8" t="s">
        <v>9</v>
      </c>
      <c r="D277" s="8" t="s">
        <v>3912</v>
      </c>
      <c r="E277" s="8" t="s">
        <v>383</v>
      </c>
      <c r="F277" s="8" t="s">
        <v>455</v>
      </c>
      <c r="G277" s="8" t="str">
        <f>"225"</f>
        <v>225</v>
      </c>
      <c r="H277" s="8" t="str">
        <f>"30172"</f>
        <v>30172</v>
      </c>
      <c r="I277" s="8" t="s">
        <v>13</v>
      </c>
      <c r="J277" s="8" t="s">
        <v>927</v>
      </c>
      <c r="K277" s="8" t="s">
        <v>20</v>
      </c>
    </row>
    <row r="278" spans="1:11" x14ac:dyDescent="0.3">
      <c r="A278" s="10">
        <v>275</v>
      </c>
      <c r="B278" s="10" t="s">
        <v>931</v>
      </c>
      <c r="C278" s="10" t="s">
        <v>9</v>
      </c>
      <c r="D278" s="10" t="s">
        <v>3912</v>
      </c>
      <c r="E278" s="10" t="s">
        <v>383</v>
      </c>
      <c r="F278" s="10" t="s">
        <v>4530</v>
      </c>
      <c r="G278" s="10" t="str">
        <f>"SNC"</f>
        <v>SNC</v>
      </c>
      <c r="H278" s="10" t="str">
        <f>"30174"</f>
        <v>30174</v>
      </c>
      <c r="I278" s="10" t="s">
        <v>13</v>
      </c>
      <c r="J278" s="10" t="s">
        <v>926</v>
      </c>
      <c r="K278" s="10" t="s">
        <v>14</v>
      </c>
    </row>
    <row r="279" spans="1:11" x14ac:dyDescent="0.3">
      <c r="A279" s="10">
        <v>276</v>
      </c>
      <c r="B279" s="10" t="s">
        <v>931</v>
      </c>
      <c r="C279" s="10" t="s">
        <v>9</v>
      </c>
      <c r="D279" s="10" t="s">
        <v>3912</v>
      </c>
      <c r="E279" s="10" t="s">
        <v>383</v>
      </c>
      <c r="F279" s="10" t="s">
        <v>1967</v>
      </c>
      <c r="G279" s="10" t="str">
        <f>"2"</f>
        <v>2</v>
      </c>
      <c r="H279" s="10" t="str">
        <f>"30172"</f>
        <v>30172</v>
      </c>
      <c r="I279" s="10" t="s">
        <v>13</v>
      </c>
      <c r="J279" s="10" t="s">
        <v>926</v>
      </c>
      <c r="K279" s="10" t="s">
        <v>14</v>
      </c>
    </row>
    <row r="280" spans="1:11" x14ac:dyDescent="0.3">
      <c r="A280" s="10">
        <v>277</v>
      </c>
      <c r="B280" s="10" t="s">
        <v>931</v>
      </c>
      <c r="C280" s="10" t="s">
        <v>4531</v>
      </c>
      <c r="D280" s="10" t="s">
        <v>3912</v>
      </c>
      <c r="E280" s="10" t="s">
        <v>383</v>
      </c>
      <c r="F280" s="10" t="s">
        <v>4532</v>
      </c>
      <c r="G280" s="10" t="str">
        <f>"1939-19525"</f>
        <v>1939-19525</v>
      </c>
      <c r="H280" s="10" t="str">
        <f>"30121"</f>
        <v>30121</v>
      </c>
      <c r="I280" s="10" t="s">
        <v>13</v>
      </c>
      <c r="J280" s="10" t="s">
        <v>926</v>
      </c>
      <c r="K280" s="10" t="s">
        <v>14</v>
      </c>
    </row>
    <row r="281" spans="1:11" x14ac:dyDescent="0.3">
      <c r="A281" s="10">
        <v>278</v>
      </c>
      <c r="B281" s="10" t="s">
        <v>931</v>
      </c>
      <c r="C281" s="10" t="s">
        <v>4533</v>
      </c>
      <c r="D281" s="10" t="s">
        <v>3912</v>
      </c>
      <c r="E281" s="10" t="s">
        <v>383</v>
      </c>
      <c r="F281" s="10" t="s">
        <v>4534</v>
      </c>
      <c r="G281" s="10" t="str">
        <f>"4793/4785"</f>
        <v>4793/4785</v>
      </c>
      <c r="H281" s="10" t="str">
        <f>"30124"</f>
        <v>30124</v>
      </c>
      <c r="I281" s="10" t="s">
        <v>13</v>
      </c>
      <c r="J281" s="10" t="s">
        <v>926</v>
      </c>
      <c r="K281" s="10" t="s">
        <v>14</v>
      </c>
    </row>
    <row r="282" spans="1:11" x14ac:dyDescent="0.3">
      <c r="A282" s="10">
        <v>279</v>
      </c>
      <c r="B282" s="10" t="s">
        <v>4535</v>
      </c>
      <c r="C282" s="10" t="s">
        <v>4536</v>
      </c>
      <c r="D282" s="10" t="s">
        <v>3912</v>
      </c>
      <c r="E282" s="10" t="s">
        <v>383</v>
      </c>
      <c r="F282" s="10" t="s">
        <v>4537</v>
      </c>
      <c r="G282" s="10" t="str">
        <f>"5185"</f>
        <v>5185</v>
      </c>
      <c r="H282" s="10" t="str">
        <f>"30124"</f>
        <v>30124</v>
      </c>
      <c r="I282" s="10" t="s">
        <v>13</v>
      </c>
      <c r="J282" s="10" t="s">
        <v>926</v>
      </c>
      <c r="K282" s="10" t="s">
        <v>205</v>
      </c>
    </row>
    <row r="283" spans="1:11" x14ac:dyDescent="0.3">
      <c r="A283" s="7">
        <v>280</v>
      </c>
      <c r="B283" s="7" t="s">
        <v>4538</v>
      </c>
      <c r="C283" s="7" t="s">
        <v>4539</v>
      </c>
      <c r="D283" s="7" t="s">
        <v>3912</v>
      </c>
      <c r="E283" s="7" t="s">
        <v>383</v>
      </c>
      <c r="F283" s="7" t="s">
        <v>4540</v>
      </c>
      <c r="G283" s="7" t="str">
        <f>"497"</f>
        <v>497</v>
      </c>
      <c r="H283" s="7" t="str">
        <f>"30135"</f>
        <v>30135</v>
      </c>
      <c r="I283" s="7" t="s">
        <v>13</v>
      </c>
      <c r="J283" s="7" t="s">
        <v>925</v>
      </c>
      <c r="K283" s="7" t="s">
        <v>14</v>
      </c>
    </row>
    <row r="284" spans="1:11" x14ac:dyDescent="0.3">
      <c r="A284" s="10">
        <v>281</v>
      </c>
      <c r="B284" s="10" t="s">
        <v>4541</v>
      </c>
      <c r="C284" s="10" t="s">
        <v>609</v>
      </c>
      <c r="D284" s="10" t="s">
        <v>3912</v>
      </c>
      <c r="E284" s="10" t="s">
        <v>383</v>
      </c>
      <c r="F284" s="10" t="s">
        <v>4498</v>
      </c>
      <c r="G284" s="10" t="str">
        <f>"10/B"</f>
        <v>10/B</v>
      </c>
      <c r="H284" s="10" t="str">
        <f>"30175"</f>
        <v>30175</v>
      </c>
      <c r="I284" s="10" t="s">
        <v>13</v>
      </c>
      <c r="J284" s="10" t="s">
        <v>926</v>
      </c>
      <c r="K284" s="10" t="s">
        <v>165</v>
      </c>
    </row>
    <row r="285" spans="1:11" x14ac:dyDescent="0.3">
      <c r="A285" s="7">
        <v>282</v>
      </c>
      <c r="B285" s="7" t="s">
        <v>4542</v>
      </c>
      <c r="C285" s="7" t="s">
        <v>4543</v>
      </c>
      <c r="D285" s="7" t="s">
        <v>3912</v>
      </c>
      <c r="E285" s="7" t="s">
        <v>383</v>
      </c>
      <c r="F285" s="7" t="s">
        <v>4544</v>
      </c>
      <c r="G285" s="7" t="str">
        <f>"1089"</f>
        <v>1089</v>
      </c>
      <c r="H285" s="7" t="str">
        <f>"30124"</f>
        <v>30124</v>
      </c>
      <c r="I285" s="7" t="s">
        <v>13</v>
      </c>
      <c r="J285" s="7" t="s">
        <v>925</v>
      </c>
      <c r="K285" s="7" t="s">
        <v>58</v>
      </c>
    </row>
    <row r="286" spans="1:11" x14ac:dyDescent="0.3">
      <c r="A286" s="10">
        <v>283</v>
      </c>
      <c r="B286" s="10" t="s">
        <v>4545</v>
      </c>
      <c r="C286" s="10" t="s">
        <v>4546</v>
      </c>
      <c r="D286" s="10" t="s">
        <v>3912</v>
      </c>
      <c r="E286" s="10" t="s">
        <v>383</v>
      </c>
      <c r="F286" s="10" t="s">
        <v>4547</v>
      </c>
      <c r="G286" s="10" t="str">
        <f>"121"</f>
        <v>121</v>
      </c>
      <c r="H286" s="10" t="str">
        <f>"30172"</f>
        <v>30172</v>
      </c>
      <c r="I286" s="10" t="s">
        <v>13</v>
      </c>
      <c r="J286" s="10" t="s">
        <v>926</v>
      </c>
      <c r="K286" s="10" t="s">
        <v>20</v>
      </c>
    </row>
    <row r="287" spans="1:11" x14ac:dyDescent="0.3">
      <c r="A287" s="7">
        <v>284</v>
      </c>
      <c r="B287" s="7" t="s">
        <v>4548</v>
      </c>
      <c r="C287" s="7" t="s">
        <v>4549</v>
      </c>
      <c r="D287" s="7" t="s">
        <v>3912</v>
      </c>
      <c r="E287" s="7" t="s">
        <v>383</v>
      </c>
      <c r="F287" s="7" t="s">
        <v>4550</v>
      </c>
      <c r="G287" s="7" t="str">
        <f>"4"</f>
        <v>4</v>
      </c>
      <c r="H287" s="7" t="str">
        <f>"30174"</f>
        <v>30174</v>
      </c>
      <c r="I287" s="7" t="s">
        <v>13</v>
      </c>
      <c r="J287" s="7" t="s">
        <v>925</v>
      </c>
      <c r="K287" s="7" t="s">
        <v>27</v>
      </c>
    </row>
    <row r="288" spans="1:11" x14ac:dyDescent="0.3">
      <c r="A288" s="7">
        <v>285</v>
      </c>
      <c r="B288" s="7" t="s">
        <v>4551</v>
      </c>
      <c r="C288" s="7" t="s">
        <v>4552</v>
      </c>
      <c r="D288" s="7" t="s">
        <v>3912</v>
      </c>
      <c r="E288" s="7" t="s">
        <v>383</v>
      </c>
      <c r="F288" s="7" t="s">
        <v>552</v>
      </c>
      <c r="G288" s="7" t="str">
        <f>"22"</f>
        <v>22</v>
      </c>
      <c r="H288" s="7" t="str">
        <f>"30174"</f>
        <v>30174</v>
      </c>
      <c r="I288" s="7" t="s">
        <v>13</v>
      </c>
      <c r="J288" s="7" t="s">
        <v>925</v>
      </c>
      <c r="K288" s="7" t="s">
        <v>205</v>
      </c>
    </row>
    <row r="289" spans="1:11" x14ac:dyDescent="0.3">
      <c r="A289" s="7">
        <v>286</v>
      </c>
      <c r="B289" s="7" t="s">
        <v>4553</v>
      </c>
      <c r="C289" s="7" t="s">
        <v>4554</v>
      </c>
      <c r="D289" s="7" t="s">
        <v>3912</v>
      </c>
      <c r="E289" s="7" t="s">
        <v>383</v>
      </c>
      <c r="F289" s="7" t="s">
        <v>4555</v>
      </c>
      <c r="G289" s="7" t="str">
        <f>"55"</f>
        <v>55</v>
      </c>
      <c r="H289" s="7" t="str">
        <f>"30174"</f>
        <v>30174</v>
      </c>
      <c r="I289" s="7" t="s">
        <v>13</v>
      </c>
      <c r="J289" s="7" t="s">
        <v>925</v>
      </c>
      <c r="K289" s="7" t="s">
        <v>43</v>
      </c>
    </row>
    <row r="290" spans="1:11" x14ac:dyDescent="0.3">
      <c r="A290" s="10">
        <v>287</v>
      </c>
      <c r="B290" s="10" t="s">
        <v>4556</v>
      </c>
      <c r="C290" s="10" t="s">
        <v>168</v>
      </c>
      <c r="D290" s="10" t="s">
        <v>3912</v>
      </c>
      <c r="E290" s="10" t="s">
        <v>383</v>
      </c>
      <c r="F290" s="10" t="s">
        <v>4557</v>
      </c>
      <c r="G290" s="10" t="str">
        <f>"3482/D"</f>
        <v>3482/D</v>
      </c>
      <c r="H290" s="10" t="str">
        <f>"30123"</f>
        <v>30123</v>
      </c>
      <c r="I290" s="10" t="s">
        <v>13</v>
      </c>
      <c r="J290" s="10" t="s">
        <v>926</v>
      </c>
      <c r="K290" s="10" t="s">
        <v>43</v>
      </c>
    </row>
    <row r="291" spans="1:11" x14ac:dyDescent="0.3">
      <c r="A291" s="8">
        <v>288</v>
      </c>
      <c r="B291" s="8" t="s">
        <v>4558</v>
      </c>
      <c r="C291" s="8" t="s">
        <v>4559</v>
      </c>
      <c r="D291" s="8" t="s">
        <v>3912</v>
      </c>
      <c r="E291" s="8" t="s">
        <v>383</v>
      </c>
      <c r="F291" s="8" t="s">
        <v>4560</v>
      </c>
      <c r="G291" s="8" t="str">
        <f>"SNC"</f>
        <v>SNC</v>
      </c>
      <c r="H291" s="8" t="str">
        <f>"30135"</f>
        <v>30135</v>
      </c>
      <c r="I291" s="8" t="s">
        <v>13</v>
      </c>
      <c r="J291" s="8" t="s">
        <v>927</v>
      </c>
      <c r="K291" s="8" t="s">
        <v>14</v>
      </c>
    </row>
    <row r="292" spans="1:11" x14ac:dyDescent="0.3">
      <c r="A292" s="7">
        <v>289</v>
      </c>
      <c r="B292" s="7" t="s">
        <v>4561</v>
      </c>
      <c r="C292" s="7" t="s">
        <v>4562</v>
      </c>
      <c r="D292" s="7" t="s">
        <v>3912</v>
      </c>
      <c r="E292" s="7" t="s">
        <v>383</v>
      </c>
      <c r="F292" s="7" t="s">
        <v>4563</v>
      </c>
      <c r="G292" s="7" t="str">
        <f>"930"</f>
        <v>930</v>
      </c>
      <c r="H292" s="7" t="str">
        <f>"30122"</f>
        <v>30122</v>
      </c>
      <c r="I292" s="7" t="s">
        <v>13</v>
      </c>
      <c r="J292" s="7" t="s">
        <v>925</v>
      </c>
      <c r="K292" s="7" t="s">
        <v>224</v>
      </c>
    </row>
    <row r="293" spans="1:11" x14ac:dyDescent="0.3">
      <c r="A293" s="10">
        <v>290</v>
      </c>
      <c r="B293" s="10" t="s">
        <v>4564</v>
      </c>
      <c r="C293" s="10" t="s">
        <v>4565</v>
      </c>
      <c r="D293" s="10" t="s">
        <v>3912</v>
      </c>
      <c r="E293" s="10" t="s">
        <v>383</v>
      </c>
      <c r="F293" s="10" t="s">
        <v>4566</v>
      </c>
      <c r="G293" s="10" t="str">
        <f>"1"</f>
        <v>1</v>
      </c>
      <c r="H293" s="10" t="str">
        <f>"30172"</f>
        <v>30172</v>
      </c>
      <c r="I293" s="10" t="s">
        <v>13</v>
      </c>
      <c r="J293" s="10" t="s">
        <v>926</v>
      </c>
      <c r="K293" s="10" t="s">
        <v>14</v>
      </c>
    </row>
    <row r="294" spans="1:11" x14ac:dyDescent="0.3">
      <c r="A294" s="10">
        <v>291</v>
      </c>
      <c r="B294" s="10" t="s">
        <v>4567</v>
      </c>
      <c r="C294" s="10" t="s">
        <v>4568</v>
      </c>
      <c r="D294" s="10" t="s">
        <v>3912</v>
      </c>
      <c r="E294" s="10" t="s">
        <v>383</v>
      </c>
      <c r="F294" s="10" t="s">
        <v>290</v>
      </c>
      <c r="G294" s="10" t="str">
        <f>"4137"</f>
        <v>4137</v>
      </c>
      <c r="H294" s="10" t="str">
        <f>"30124"</f>
        <v>30124</v>
      </c>
      <c r="I294" s="10" t="s">
        <v>13</v>
      </c>
      <c r="J294" s="10" t="s">
        <v>926</v>
      </c>
      <c r="K294" s="10" t="s">
        <v>342</v>
      </c>
    </row>
    <row r="295" spans="1:11" x14ac:dyDescent="0.3">
      <c r="A295" s="10">
        <v>292</v>
      </c>
      <c r="B295" s="10" t="s">
        <v>4569</v>
      </c>
      <c r="C295" s="10" t="s">
        <v>4570</v>
      </c>
      <c r="D295" s="10" t="s">
        <v>3912</v>
      </c>
      <c r="E295" s="10" t="s">
        <v>383</v>
      </c>
      <c r="F295" s="10" t="s">
        <v>4571</v>
      </c>
      <c r="G295" s="10" t="str">
        <f>"22"</f>
        <v>22</v>
      </c>
      <c r="H295" s="10" t="str">
        <f>"30174"</f>
        <v>30174</v>
      </c>
      <c r="I295" s="10" t="s">
        <v>13</v>
      </c>
      <c r="J295" s="10" t="s">
        <v>926</v>
      </c>
      <c r="K295" s="10" t="s">
        <v>14</v>
      </c>
    </row>
    <row r="296" spans="1:11" x14ac:dyDescent="0.3">
      <c r="A296" s="10">
        <v>293</v>
      </c>
      <c r="B296" s="10" t="s">
        <v>4572</v>
      </c>
      <c r="C296" s="10" t="s">
        <v>4573</v>
      </c>
      <c r="D296" s="10" t="s">
        <v>3912</v>
      </c>
      <c r="E296" s="10" t="s">
        <v>383</v>
      </c>
      <c r="F296" s="10" t="s">
        <v>4574</v>
      </c>
      <c r="G296" s="10" t="str">
        <f>"56"</f>
        <v>56</v>
      </c>
      <c r="H296" s="10" t="str">
        <f>"30174"</f>
        <v>30174</v>
      </c>
      <c r="I296" s="10" t="s">
        <v>13</v>
      </c>
      <c r="J296" s="10" t="s">
        <v>926</v>
      </c>
      <c r="K296" s="10" t="s">
        <v>43</v>
      </c>
    </row>
    <row r="297" spans="1:11" x14ac:dyDescent="0.3">
      <c r="A297" s="10">
        <v>294</v>
      </c>
      <c r="B297" s="10" t="s">
        <v>4575</v>
      </c>
      <c r="C297" s="10" t="s">
        <v>4576</v>
      </c>
      <c r="D297" s="10" t="s">
        <v>3912</v>
      </c>
      <c r="E297" s="10" t="s">
        <v>383</v>
      </c>
      <c r="F297" s="10" t="s">
        <v>4577</v>
      </c>
      <c r="G297" s="10" t="str">
        <f>"124/C"</f>
        <v>124/C</v>
      </c>
      <c r="H297" s="10" t="str">
        <f>"30173"</f>
        <v>30173</v>
      </c>
      <c r="I297" s="10" t="s">
        <v>13</v>
      </c>
      <c r="J297" s="10" t="s">
        <v>926</v>
      </c>
      <c r="K297" s="10" t="s">
        <v>224</v>
      </c>
    </row>
    <row r="298" spans="1:11" x14ac:dyDescent="0.3">
      <c r="A298" s="10">
        <v>295</v>
      </c>
      <c r="B298" s="10" t="s">
        <v>4578</v>
      </c>
      <c r="C298" s="10" t="s">
        <v>4579</v>
      </c>
      <c r="D298" s="10" t="s">
        <v>3912</v>
      </c>
      <c r="E298" s="10" t="s">
        <v>383</v>
      </c>
      <c r="F298" s="10" t="s">
        <v>4580</v>
      </c>
      <c r="G298" s="10" t="str">
        <f>"3/C"</f>
        <v>3/C</v>
      </c>
      <c r="H298" s="10" t="str">
        <f>"30175"</f>
        <v>30175</v>
      </c>
      <c r="I298" s="10" t="s">
        <v>13</v>
      </c>
      <c r="J298" s="10" t="s">
        <v>926</v>
      </c>
      <c r="K298" s="10" t="s">
        <v>20</v>
      </c>
    </row>
    <row r="299" spans="1:11" x14ac:dyDescent="0.3">
      <c r="A299" s="10">
        <v>296</v>
      </c>
      <c r="B299" s="10" t="s">
        <v>4581</v>
      </c>
      <c r="C299" s="10" t="s">
        <v>4582</v>
      </c>
      <c r="D299" s="10" t="s">
        <v>3912</v>
      </c>
      <c r="E299" s="10" t="s">
        <v>383</v>
      </c>
      <c r="F299" s="10" t="s">
        <v>4583</v>
      </c>
      <c r="G299" s="10" t="str">
        <f>"21/L"</f>
        <v>21/L</v>
      </c>
      <c r="H299" s="10" t="str">
        <f>"30172"</f>
        <v>30172</v>
      </c>
      <c r="I299" s="10" t="s">
        <v>13</v>
      </c>
      <c r="J299" s="10" t="s">
        <v>926</v>
      </c>
      <c r="K299" s="10" t="s">
        <v>20</v>
      </c>
    </row>
    <row r="300" spans="1:11" x14ac:dyDescent="0.3">
      <c r="A300" s="7">
        <v>297</v>
      </c>
      <c r="B300" s="7" t="s">
        <v>4584</v>
      </c>
      <c r="C300" s="7" t="s">
        <v>4585</v>
      </c>
      <c r="D300" s="7" t="s">
        <v>3912</v>
      </c>
      <c r="E300" s="7" t="s">
        <v>383</v>
      </c>
      <c r="F300" s="7" t="s">
        <v>4586</v>
      </c>
      <c r="G300" s="7" t="str">
        <f>"22"</f>
        <v>22</v>
      </c>
      <c r="H300" s="7" t="str">
        <f>"30175"</f>
        <v>30175</v>
      </c>
      <c r="I300" s="7" t="s">
        <v>13</v>
      </c>
      <c r="J300" s="7" t="s">
        <v>925</v>
      </c>
      <c r="K300" s="7" t="s">
        <v>43</v>
      </c>
    </row>
    <row r="301" spans="1:11" x14ac:dyDescent="0.3">
      <c r="A301" s="7">
        <v>298</v>
      </c>
      <c r="B301" s="7" t="s">
        <v>4587</v>
      </c>
      <c r="C301" s="7" t="s">
        <v>4588</v>
      </c>
      <c r="D301" s="7" t="s">
        <v>3912</v>
      </c>
      <c r="E301" s="7" t="s">
        <v>383</v>
      </c>
      <c r="F301" s="7" t="s">
        <v>4589</v>
      </c>
      <c r="G301" s="7" t="str">
        <f>"60/A"</f>
        <v>60/A</v>
      </c>
      <c r="H301" s="7" t="str">
        <f>"30175"</f>
        <v>30175</v>
      </c>
      <c r="I301" s="7" t="s">
        <v>13</v>
      </c>
      <c r="J301" s="7" t="s">
        <v>925</v>
      </c>
      <c r="K301" s="7" t="s">
        <v>43</v>
      </c>
    </row>
    <row r="302" spans="1:11" x14ac:dyDescent="0.3">
      <c r="A302" s="8">
        <v>299</v>
      </c>
      <c r="B302" s="8" t="s">
        <v>4590</v>
      </c>
      <c r="C302" s="8" t="s">
        <v>4591</v>
      </c>
      <c r="D302" s="8" t="s">
        <v>3912</v>
      </c>
      <c r="E302" s="8" t="s">
        <v>383</v>
      </c>
      <c r="F302" s="8" t="s">
        <v>4592</v>
      </c>
      <c r="G302" s="8" t="str">
        <f>"82"</f>
        <v>82</v>
      </c>
      <c r="H302" s="8" t="str">
        <f>"30173"</f>
        <v>30173</v>
      </c>
      <c r="I302" s="8" t="s">
        <v>13</v>
      </c>
      <c r="J302" s="8" t="s">
        <v>927</v>
      </c>
      <c r="K302" s="8" t="s">
        <v>14</v>
      </c>
    </row>
    <row r="303" spans="1:11" x14ac:dyDescent="0.3">
      <c r="A303" s="8">
        <v>300</v>
      </c>
      <c r="B303" s="8" t="s">
        <v>4593</v>
      </c>
      <c r="C303" s="8" t="s">
        <v>4513</v>
      </c>
      <c r="D303" s="8" t="s">
        <v>3912</v>
      </c>
      <c r="E303" s="8" t="s">
        <v>383</v>
      </c>
      <c r="F303" s="8" t="s">
        <v>4594</v>
      </c>
      <c r="G303" s="8" t="str">
        <f>"10/12"</f>
        <v>10/12</v>
      </c>
      <c r="H303" s="8" t="str">
        <f>"30172"</f>
        <v>30172</v>
      </c>
      <c r="I303" s="8" t="s">
        <v>13</v>
      </c>
      <c r="J303" s="8" t="s">
        <v>927</v>
      </c>
      <c r="K303" s="8" t="s">
        <v>20</v>
      </c>
    </row>
    <row r="304" spans="1:11" x14ac:dyDescent="0.3">
      <c r="A304" s="10">
        <v>301</v>
      </c>
      <c r="B304" s="10" t="s">
        <v>4595</v>
      </c>
      <c r="C304" s="10" t="s">
        <v>614</v>
      </c>
      <c r="D304" s="10" t="s">
        <v>3912</v>
      </c>
      <c r="E304" s="10" t="s">
        <v>383</v>
      </c>
      <c r="F304" s="10" t="s">
        <v>4547</v>
      </c>
      <c r="G304" s="10" t="str">
        <f>"6"</f>
        <v>6</v>
      </c>
      <c r="H304" s="10" t="str">
        <f>"30172"</f>
        <v>30172</v>
      </c>
      <c r="I304" s="10" t="s">
        <v>13</v>
      </c>
      <c r="J304" s="10" t="s">
        <v>926</v>
      </c>
      <c r="K304" s="10" t="s">
        <v>345</v>
      </c>
    </row>
    <row r="305" spans="1:11" x14ac:dyDescent="0.3">
      <c r="A305" s="10">
        <v>302</v>
      </c>
      <c r="B305" s="10" t="s">
        <v>4596</v>
      </c>
      <c r="C305" s="10" t="s">
        <v>4597</v>
      </c>
      <c r="D305" s="10" t="s">
        <v>3912</v>
      </c>
      <c r="E305" s="10" t="s">
        <v>383</v>
      </c>
      <c r="F305" s="10" t="s">
        <v>4598</v>
      </c>
      <c r="G305" s="10" t="str">
        <f>"17"</f>
        <v>17</v>
      </c>
      <c r="H305" s="10" t="str">
        <f>"30174"</f>
        <v>30174</v>
      </c>
      <c r="I305" s="10" t="s">
        <v>13</v>
      </c>
      <c r="J305" s="10" t="s">
        <v>926</v>
      </c>
      <c r="K305" s="10" t="s">
        <v>4599</v>
      </c>
    </row>
    <row r="306" spans="1:11" x14ac:dyDescent="0.3">
      <c r="A306" s="10">
        <v>303</v>
      </c>
      <c r="B306" s="10" t="s">
        <v>4600</v>
      </c>
      <c r="C306" s="10" t="s">
        <v>4601</v>
      </c>
      <c r="D306" s="10" t="s">
        <v>3912</v>
      </c>
      <c r="E306" s="10" t="s">
        <v>383</v>
      </c>
      <c r="F306" s="10" t="s">
        <v>4602</v>
      </c>
      <c r="G306" s="10" t="str">
        <f>"2/A"</f>
        <v>2/A</v>
      </c>
      <c r="H306" s="10" t="str">
        <f>"30172"</f>
        <v>30172</v>
      </c>
      <c r="I306" s="10" t="s">
        <v>13</v>
      </c>
      <c r="J306" s="10" t="s">
        <v>926</v>
      </c>
      <c r="K306" s="10" t="s">
        <v>20</v>
      </c>
    </row>
    <row r="307" spans="1:11" x14ac:dyDescent="0.3">
      <c r="A307" s="7">
        <v>304</v>
      </c>
      <c r="B307" s="7" t="s">
        <v>4603</v>
      </c>
      <c r="C307" s="7" t="s">
        <v>4604</v>
      </c>
      <c r="D307" s="7" t="s">
        <v>3912</v>
      </c>
      <c r="E307" s="7" t="s">
        <v>383</v>
      </c>
      <c r="F307" s="7" t="s">
        <v>4605</v>
      </c>
      <c r="G307" s="7" t="str">
        <f>"54"</f>
        <v>54</v>
      </c>
      <c r="H307" s="7" t="str">
        <f>"30176"</f>
        <v>30176</v>
      </c>
      <c r="I307" s="7" t="s">
        <v>13</v>
      </c>
      <c r="J307" s="7" t="s">
        <v>925</v>
      </c>
      <c r="K307" s="7" t="s">
        <v>43</v>
      </c>
    </row>
    <row r="308" spans="1:11" x14ac:dyDescent="0.3">
      <c r="A308" s="10">
        <v>305</v>
      </c>
      <c r="B308" s="10" t="s">
        <v>4606</v>
      </c>
      <c r="C308" s="10" t="s">
        <v>4607</v>
      </c>
      <c r="D308" s="10" t="s">
        <v>3912</v>
      </c>
      <c r="E308" s="10" t="s">
        <v>383</v>
      </c>
      <c r="F308" s="10" t="s">
        <v>4608</v>
      </c>
      <c r="G308" s="10" t="str">
        <f>"1165"</f>
        <v>1165</v>
      </c>
      <c r="H308" s="10" t="str">
        <f>"30124"</f>
        <v>30124</v>
      </c>
      <c r="I308" s="10" t="s">
        <v>13</v>
      </c>
      <c r="J308" s="10" t="s">
        <v>926</v>
      </c>
      <c r="K308" s="10" t="s">
        <v>20</v>
      </c>
    </row>
    <row r="309" spans="1:11" x14ac:dyDescent="0.3">
      <c r="A309" s="7">
        <v>306</v>
      </c>
      <c r="B309" s="7" t="s">
        <v>1107</v>
      </c>
      <c r="C309" s="7" t="s">
        <v>255</v>
      </c>
      <c r="D309" s="7" t="s">
        <v>3912</v>
      </c>
      <c r="E309" s="7" t="s">
        <v>383</v>
      </c>
      <c r="F309" s="7" t="s">
        <v>4609</v>
      </c>
      <c r="G309" s="7" t="str">
        <f>"6"</f>
        <v>6</v>
      </c>
      <c r="H309" s="7" t="str">
        <f>"30174"</f>
        <v>30174</v>
      </c>
      <c r="I309" s="7" t="s">
        <v>13</v>
      </c>
      <c r="J309" s="7" t="s">
        <v>925</v>
      </c>
      <c r="K309" s="7" t="s">
        <v>14</v>
      </c>
    </row>
    <row r="310" spans="1:11" x14ac:dyDescent="0.3">
      <c r="A310" s="10">
        <v>307</v>
      </c>
      <c r="B310" s="10" t="s">
        <v>1107</v>
      </c>
      <c r="C310" s="10" t="s">
        <v>4610</v>
      </c>
      <c r="D310" s="10" t="s">
        <v>3912</v>
      </c>
      <c r="E310" s="10" t="s">
        <v>383</v>
      </c>
      <c r="F310" s="10" t="s">
        <v>4609</v>
      </c>
      <c r="G310" s="10" t="str">
        <f>"5"</f>
        <v>5</v>
      </c>
      <c r="H310" s="10" t="str">
        <f>"30174"</f>
        <v>30174</v>
      </c>
      <c r="I310" s="10" t="s">
        <v>13</v>
      </c>
      <c r="J310" s="10" t="s">
        <v>926</v>
      </c>
      <c r="K310" s="10" t="s">
        <v>14</v>
      </c>
    </row>
    <row r="311" spans="1:11" x14ac:dyDescent="0.3">
      <c r="A311" s="7">
        <v>308</v>
      </c>
      <c r="B311" s="7" t="s">
        <v>1107</v>
      </c>
      <c r="C311" s="7" t="s">
        <v>255</v>
      </c>
      <c r="D311" s="7" t="s">
        <v>3912</v>
      </c>
      <c r="E311" s="7" t="s">
        <v>383</v>
      </c>
      <c r="F311" s="7" t="s">
        <v>4611</v>
      </c>
      <c r="G311" s="7" t="str">
        <f>"3660/A"</f>
        <v>3660/A</v>
      </c>
      <c r="H311" s="7" t="str">
        <f>"30126"</f>
        <v>30126</v>
      </c>
      <c r="I311" s="7" t="s">
        <v>13</v>
      </c>
      <c r="J311" s="7" t="s">
        <v>925</v>
      </c>
      <c r="K311" s="7" t="s">
        <v>14</v>
      </c>
    </row>
    <row r="312" spans="1:11" x14ac:dyDescent="0.3">
      <c r="A312" s="7">
        <v>309</v>
      </c>
      <c r="B312" s="7" t="s">
        <v>4612</v>
      </c>
      <c r="C312" s="7" t="s">
        <v>4613</v>
      </c>
      <c r="D312" s="7" t="s">
        <v>3912</v>
      </c>
      <c r="E312" s="7" t="s">
        <v>383</v>
      </c>
      <c r="F312" s="7" t="s">
        <v>4614</v>
      </c>
      <c r="G312" s="7" t="str">
        <f>"17"</f>
        <v>17</v>
      </c>
      <c r="H312" s="7" t="str">
        <f>"30174"</f>
        <v>30174</v>
      </c>
      <c r="I312" s="7" t="s">
        <v>13</v>
      </c>
      <c r="J312" s="7" t="s">
        <v>925</v>
      </c>
      <c r="K312" s="7" t="s">
        <v>14</v>
      </c>
    </row>
    <row r="313" spans="1:11" x14ac:dyDescent="0.3">
      <c r="A313" s="21">
        <v>310</v>
      </c>
      <c r="B313" s="21" t="s">
        <v>1265</v>
      </c>
      <c r="C313" s="21" t="s">
        <v>4615</v>
      </c>
      <c r="D313" s="21" t="s">
        <v>3912</v>
      </c>
      <c r="E313" s="21" t="s">
        <v>383</v>
      </c>
      <c r="F313" s="21" t="s">
        <v>4616</v>
      </c>
      <c r="G313" s="21" t="str">
        <f>"20"</f>
        <v>20</v>
      </c>
      <c r="H313" s="21" t="str">
        <f>"30173"</f>
        <v>30173</v>
      </c>
      <c r="I313" s="21" t="s">
        <v>13</v>
      </c>
      <c r="J313" s="21" t="s">
        <v>924</v>
      </c>
      <c r="K313" s="21" t="s">
        <v>14</v>
      </c>
    </row>
    <row r="314" spans="1:11" x14ac:dyDescent="0.3">
      <c r="A314" s="21">
        <v>311</v>
      </c>
      <c r="B314" s="21" t="s">
        <v>1265</v>
      </c>
      <c r="C314" s="21" t="s">
        <v>4617</v>
      </c>
      <c r="D314" s="21" t="s">
        <v>3912</v>
      </c>
      <c r="E314" s="21" t="s">
        <v>383</v>
      </c>
      <c r="F314" s="21" t="s">
        <v>4616</v>
      </c>
      <c r="G314" s="21" t="str">
        <f>"20"</f>
        <v>20</v>
      </c>
      <c r="H314" s="21" t="str">
        <f>"30173"</f>
        <v>30173</v>
      </c>
      <c r="I314" s="21" t="s">
        <v>13</v>
      </c>
      <c r="J314" s="21" t="s">
        <v>924</v>
      </c>
      <c r="K314" s="21" t="s">
        <v>14</v>
      </c>
    </row>
    <row r="315" spans="1:11" x14ac:dyDescent="0.3">
      <c r="A315" s="10">
        <v>312</v>
      </c>
      <c r="B315" s="10" t="s">
        <v>4618</v>
      </c>
      <c r="C315" s="10" t="s">
        <v>4619</v>
      </c>
      <c r="D315" s="10" t="s">
        <v>3912</v>
      </c>
      <c r="E315" s="10" t="s">
        <v>383</v>
      </c>
      <c r="F315" s="10" t="s">
        <v>4571</v>
      </c>
      <c r="G315" s="10" t="str">
        <f>"95"</f>
        <v>95</v>
      </c>
      <c r="H315" s="10" t="str">
        <f>"30174"</f>
        <v>30174</v>
      </c>
      <c r="I315" s="10" t="s">
        <v>13</v>
      </c>
      <c r="J315" s="10" t="s">
        <v>926</v>
      </c>
      <c r="K315" s="10" t="s">
        <v>66</v>
      </c>
    </row>
    <row r="316" spans="1:11" x14ac:dyDescent="0.3">
      <c r="A316" s="8">
        <v>313</v>
      </c>
      <c r="B316" s="8" t="s">
        <v>4620</v>
      </c>
      <c r="C316" s="8" t="s">
        <v>4621</v>
      </c>
      <c r="D316" s="8" t="s">
        <v>3912</v>
      </c>
      <c r="E316" s="8" t="s">
        <v>383</v>
      </c>
      <c r="F316" s="8" t="s">
        <v>2578</v>
      </c>
      <c r="G316" s="8" t="str">
        <f>"290"</f>
        <v>290</v>
      </c>
      <c r="H316" s="8" t="str">
        <f>"30174"</f>
        <v>30174</v>
      </c>
      <c r="I316" s="8" t="s">
        <v>13</v>
      </c>
      <c r="J316" s="8" t="s">
        <v>927</v>
      </c>
      <c r="K316" s="8" t="s">
        <v>195</v>
      </c>
    </row>
    <row r="317" spans="1:11" x14ac:dyDescent="0.3">
      <c r="A317" s="7">
        <v>314</v>
      </c>
      <c r="B317" s="7" t="s">
        <v>4622</v>
      </c>
      <c r="C317" s="7" t="s">
        <v>4623</v>
      </c>
      <c r="D317" s="7" t="s">
        <v>3912</v>
      </c>
      <c r="E317" s="7" t="s">
        <v>383</v>
      </c>
      <c r="F317" s="7" t="s">
        <v>4489</v>
      </c>
      <c r="G317" s="7" t="str">
        <f>"30"</f>
        <v>30</v>
      </c>
      <c r="H317" s="7" t="str">
        <f>"30173"</f>
        <v>30173</v>
      </c>
      <c r="I317" s="7" t="s">
        <v>13</v>
      </c>
      <c r="J317" s="7" t="s">
        <v>925</v>
      </c>
      <c r="K317" s="7" t="s">
        <v>205</v>
      </c>
    </row>
    <row r="318" spans="1:11" x14ac:dyDescent="0.3">
      <c r="A318" s="8">
        <v>315</v>
      </c>
      <c r="B318" s="8" t="s">
        <v>1626</v>
      </c>
      <c r="C318" s="8" t="s">
        <v>2317</v>
      </c>
      <c r="D318" s="8" t="s">
        <v>3912</v>
      </c>
      <c r="E318" s="8" t="s">
        <v>383</v>
      </c>
      <c r="F318" s="8" t="s">
        <v>4624</v>
      </c>
      <c r="G318" s="8" t="str">
        <f>"12"</f>
        <v>12</v>
      </c>
      <c r="H318" s="8" t="str">
        <f>"30126"</f>
        <v>30126</v>
      </c>
      <c r="I318" s="8" t="s">
        <v>13</v>
      </c>
      <c r="J318" s="8" t="s">
        <v>927</v>
      </c>
      <c r="K318" s="8" t="s">
        <v>14</v>
      </c>
    </row>
    <row r="319" spans="1:11" x14ac:dyDescent="0.3">
      <c r="A319" s="8">
        <v>316</v>
      </c>
      <c r="B319" s="8" t="s">
        <v>1626</v>
      </c>
      <c r="C319" s="8" t="s">
        <v>1712</v>
      </c>
      <c r="D319" s="8" t="s">
        <v>3912</v>
      </c>
      <c r="E319" s="8" t="s">
        <v>383</v>
      </c>
      <c r="F319" s="8" t="s">
        <v>29</v>
      </c>
      <c r="G319" s="8" t="str">
        <f>"49"</f>
        <v>49</v>
      </c>
      <c r="H319" s="8" t="str">
        <f>"30175"</f>
        <v>30175</v>
      </c>
      <c r="I319" s="8" t="s">
        <v>13</v>
      </c>
      <c r="J319" s="8" t="s">
        <v>927</v>
      </c>
      <c r="K319" s="8" t="s">
        <v>14</v>
      </c>
    </row>
    <row r="320" spans="1:11" x14ac:dyDescent="0.3">
      <c r="A320" s="8">
        <v>317</v>
      </c>
      <c r="B320" s="8" t="s">
        <v>1626</v>
      </c>
      <c r="C320" s="8" t="s">
        <v>1712</v>
      </c>
      <c r="D320" s="8" t="s">
        <v>3912</v>
      </c>
      <c r="E320" s="8" t="s">
        <v>383</v>
      </c>
      <c r="F320" s="8" t="s">
        <v>4625</v>
      </c>
      <c r="G320" s="8" t="str">
        <f>"15"</f>
        <v>15</v>
      </c>
      <c r="H320" s="8" t="str">
        <f>"30173"</f>
        <v>30173</v>
      </c>
      <c r="I320" s="8" t="s">
        <v>13</v>
      </c>
      <c r="J320" s="8" t="s">
        <v>927</v>
      </c>
      <c r="K320" s="8" t="s">
        <v>14</v>
      </c>
    </row>
    <row r="321" spans="1:11" x14ac:dyDescent="0.3">
      <c r="A321" s="8">
        <v>318</v>
      </c>
      <c r="B321" s="8" t="s">
        <v>1626</v>
      </c>
      <c r="C321" s="8" t="s">
        <v>1712</v>
      </c>
      <c r="D321" s="8" t="s">
        <v>3912</v>
      </c>
      <c r="E321" s="8" t="s">
        <v>383</v>
      </c>
      <c r="F321" s="8" t="s">
        <v>4626</v>
      </c>
      <c r="G321" s="8" t="str">
        <f>"84"</f>
        <v>84</v>
      </c>
      <c r="H321" s="8" t="str">
        <f>"30171"</f>
        <v>30171</v>
      </c>
      <c r="I321" s="8" t="s">
        <v>13</v>
      </c>
      <c r="J321" s="8" t="s">
        <v>927</v>
      </c>
      <c r="K321" s="8" t="s">
        <v>14</v>
      </c>
    </row>
    <row r="322" spans="1:11" x14ac:dyDescent="0.3">
      <c r="A322" s="8">
        <v>319</v>
      </c>
      <c r="B322" s="8" t="s">
        <v>1626</v>
      </c>
      <c r="C322" s="8" t="s">
        <v>2317</v>
      </c>
      <c r="D322" s="8" t="s">
        <v>3912</v>
      </c>
      <c r="E322" s="8" t="s">
        <v>383</v>
      </c>
      <c r="F322" s="8" t="s">
        <v>4627</v>
      </c>
      <c r="G322" s="8" t="str">
        <f>"643"</f>
        <v>643</v>
      </c>
      <c r="H322" s="8" t="str">
        <f>"30126"</f>
        <v>30126</v>
      </c>
      <c r="I322" s="8" t="s">
        <v>13</v>
      </c>
      <c r="J322" s="8" t="s">
        <v>927</v>
      </c>
      <c r="K322" s="8" t="s">
        <v>14</v>
      </c>
    </row>
    <row r="323" spans="1:11" x14ac:dyDescent="0.3">
      <c r="A323" s="8">
        <v>320</v>
      </c>
      <c r="B323" s="8" t="s">
        <v>1626</v>
      </c>
      <c r="C323" s="8" t="s">
        <v>2317</v>
      </c>
      <c r="D323" s="8" t="s">
        <v>3912</v>
      </c>
      <c r="E323" s="8" t="s">
        <v>383</v>
      </c>
      <c r="F323" s="8" t="s">
        <v>4520</v>
      </c>
      <c r="G323" s="8" t="str">
        <f>"506/A"</f>
        <v>506/A</v>
      </c>
      <c r="H323" s="8" t="str">
        <f>"30135"</f>
        <v>30135</v>
      </c>
      <c r="I323" s="8" t="s">
        <v>13</v>
      </c>
      <c r="J323" s="8" t="s">
        <v>927</v>
      </c>
      <c r="K323" s="8" t="s">
        <v>14</v>
      </c>
    </row>
    <row r="324" spans="1:11" x14ac:dyDescent="0.3">
      <c r="A324" s="8">
        <v>321</v>
      </c>
      <c r="B324" s="8" t="s">
        <v>1626</v>
      </c>
      <c r="C324" s="8" t="s">
        <v>2317</v>
      </c>
      <c r="D324" s="8" t="s">
        <v>3912</v>
      </c>
      <c r="E324" s="8" t="s">
        <v>383</v>
      </c>
      <c r="F324" s="8" t="s">
        <v>4628</v>
      </c>
      <c r="G324" s="8" t="str">
        <f>"1797"</f>
        <v>1797</v>
      </c>
      <c r="H324" s="8" t="str">
        <f>"30122"</f>
        <v>30122</v>
      </c>
      <c r="I324" s="8" t="s">
        <v>13</v>
      </c>
      <c r="J324" s="8" t="s">
        <v>927</v>
      </c>
      <c r="K324" s="8" t="s">
        <v>14</v>
      </c>
    </row>
    <row r="325" spans="1:11" x14ac:dyDescent="0.3">
      <c r="A325" s="8">
        <v>322</v>
      </c>
      <c r="B325" s="8" t="s">
        <v>1626</v>
      </c>
      <c r="C325" s="8" t="s">
        <v>2317</v>
      </c>
      <c r="D325" s="8" t="s">
        <v>3912</v>
      </c>
      <c r="E325" s="8" t="s">
        <v>383</v>
      </c>
      <c r="F325" s="8" t="s">
        <v>4507</v>
      </c>
      <c r="G325" s="8" t="str">
        <f>"4612"</f>
        <v>4612</v>
      </c>
      <c r="H325" s="8" t="str">
        <f>"30121"</f>
        <v>30121</v>
      </c>
      <c r="I325" s="8" t="s">
        <v>13</v>
      </c>
      <c r="J325" s="8" t="s">
        <v>927</v>
      </c>
      <c r="K325" s="8" t="s">
        <v>14</v>
      </c>
    </row>
    <row r="326" spans="1:11" x14ac:dyDescent="0.3">
      <c r="A326" s="8">
        <v>323</v>
      </c>
      <c r="B326" s="8" t="s">
        <v>1626</v>
      </c>
      <c r="C326" s="8" t="s">
        <v>2317</v>
      </c>
      <c r="D326" s="8" t="s">
        <v>3912</v>
      </c>
      <c r="E326" s="8" t="s">
        <v>383</v>
      </c>
      <c r="F326" s="8" t="s">
        <v>4507</v>
      </c>
      <c r="G326" s="8" t="str">
        <f>"1976"</f>
        <v>1976</v>
      </c>
      <c r="H326" s="8" t="str">
        <f>"30121"</f>
        <v>30121</v>
      </c>
      <c r="I326" s="8" t="s">
        <v>13</v>
      </c>
      <c r="J326" s="8" t="s">
        <v>927</v>
      </c>
      <c r="K326" s="8" t="s">
        <v>14</v>
      </c>
    </row>
    <row r="327" spans="1:11" x14ac:dyDescent="0.3">
      <c r="A327" s="8">
        <v>324</v>
      </c>
      <c r="B327" s="8" t="s">
        <v>1626</v>
      </c>
      <c r="C327" s="8" t="s">
        <v>2317</v>
      </c>
      <c r="D327" s="8" t="s">
        <v>3912</v>
      </c>
      <c r="E327" s="8" t="s">
        <v>383</v>
      </c>
      <c r="F327" s="8" t="s">
        <v>4520</v>
      </c>
      <c r="G327" s="8" t="str">
        <f>"1491/A"</f>
        <v>1491/A</v>
      </c>
      <c r="H327" s="8" t="str">
        <f>"30135"</f>
        <v>30135</v>
      </c>
      <c r="I327" s="8" t="s">
        <v>13</v>
      </c>
      <c r="J327" s="8" t="s">
        <v>927</v>
      </c>
      <c r="K327" s="8" t="s">
        <v>14</v>
      </c>
    </row>
    <row r="328" spans="1:11" x14ac:dyDescent="0.3">
      <c r="A328" s="8">
        <v>325</v>
      </c>
      <c r="B328" s="8" t="s">
        <v>1626</v>
      </c>
      <c r="C328" s="8" t="s">
        <v>2317</v>
      </c>
      <c r="D328" s="8" t="s">
        <v>3912</v>
      </c>
      <c r="E328" s="8" t="s">
        <v>383</v>
      </c>
      <c r="F328" s="8" t="s">
        <v>4628</v>
      </c>
      <c r="G328" s="8" t="str">
        <f>"6576/C"</f>
        <v>6576/C</v>
      </c>
      <c r="H328" s="8" t="str">
        <f>"30122"</f>
        <v>30122</v>
      </c>
      <c r="I328" s="8" t="s">
        <v>13</v>
      </c>
      <c r="J328" s="8" t="s">
        <v>927</v>
      </c>
      <c r="K328" s="8" t="s">
        <v>14</v>
      </c>
    </row>
    <row r="329" spans="1:11" x14ac:dyDescent="0.3">
      <c r="A329" s="8">
        <v>326</v>
      </c>
      <c r="B329" s="8" t="s">
        <v>1626</v>
      </c>
      <c r="C329" s="8" t="s">
        <v>2317</v>
      </c>
      <c r="D329" s="8" t="s">
        <v>3912</v>
      </c>
      <c r="E329" s="8" t="s">
        <v>383</v>
      </c>
      <c r="F329" s="8" t="s">
        <v>4629</v>
      </c>
      <c r="G329" s="8" t="str">
        <f>"1338/A"</f>
        <v>1338/A</v>
      </c>
      <c r="H329" s="8" t="str">
        <f>"30125"</f>
        <v>30125</v>
      </c>
      <c r="I329" s="8" t="s">
        <v>13</v>
      </c>
      <c r="J329" s="8" t="s">
        <v>927</v>
      </c>
      <c r="K329" s="8" t="s">
        <v>14</v>
      </c>
    </row>
    <row r="330" spans="1:11" x14ac:dyDescent="0.3">
      <c r="A330" s="8">
        <v>327</v>
      </c>
      <c r="B330" s="8" t="s">
        <v>1626</v>
      </c>
      <c r="C330" s="8" t="s">
        <v>2317</v>
      </c>
      <c r="D330" s="8" t="s">
        <v>3912</v>
      </c>
      <c r="E330" s="8" t="s">
        <v>383</v>
      </c>
      <c r="F330" s="8" t="s">
        <v>4630</v>
      </c>
      <c r="G330" s="8" t="str">
        <f>"25"</f>
        <v>25</v>
      </c>
      <c r="H330" s="8" t="str">
        <f>"30126"</f>
        <v>30126</v>
      </c>
      <c r="I330" s="8" t="s">
        <v>13</v>
      </c>
      <c r="J330" s="8" t="s">
        <v>927</v>
      </c>
      <c r="K330" s="8" t="s">
        <v>14</v>
      </c>
    </row>
    <row r="331" spans="1:11" x14ac:dyDescent="0.3">
      <c r="A331" s="8">
        <v>328</v>
      </c>
      <c r="B331" s="8" t="s">
        <v>1626</v>
      </c>
      <c r="C331" s="8" t="s">
        <v>114</v>
      </c>
      <c r="D331" s="8" t="s">
        <v>3912</v>
      </c>
      <c r="E331" s="8" t="s">
        <v>383</v>
      </c>
      <c r="F331" s="8" t="s">
        <v>4631</v>
      </c>
      <c r="G331" s="8" t="str">
        <f>"166"</f>
        <v>166</v>
      </c>
      <c r="H331" s="8" t="str">
        <f>"30174"</f>
        <v>30174</v>
      </c>
      <c r="I331" s="8" t="s">
        <v>13</v>
      </c>
      <c r="J331" s="8" t="s">
        <v>927</v>
      </c>
      <c r="K331" s="8" t="s">
        <v>14</v>
      </c>
    </row>
    <row r="332" spans="1:11" x14ac:dyDescent="0.3">
      <c r="A332" s="8">
        <v>329</v>
      </c>
      <c r="B332" s="8" t="s">
        <v>1626</v>
      </c>
      <c r="C332" s="8" t="s">
        <v>4632</v>
      </c>
      <c r="D332" s="8" t="s">
        <v>3912</v>
      </c>
      <c r="E332" s="8" t="s">
        <v>383</v>
      </c>
      <c r="F332" s="8" t="s">
        <v>4633</v>
      </c>
      <c r="G332" s="8" t="str">
        <f>"5892"</f>
        <v>5892</v>
      </c>
      <c r="H332" s="8" t="str">
        <f>"30172"</f>
        <v>30172</v>
      </c>
      <c r="I332" s="8" t="s">
        <v>13</v>
      </c>
      <c r="J332" s="8" t="s">
        <v>927</v>
      </c>
      <c r="K332" s="8" t="s">
        <v>14</v>
      </c>
    </row>
    <row r="333" spans="1:11" x14ac:dyDescent="0.3">
      <c r="A333" s="8">
        <v>330</v>
      </c>
      <c r="B333" s="8" t="s">
        <v>1626</v>
      </c>
      <c r="C333" s="8" t="s">
        <v>892</v>
      </c>
      <c r="D333" s="8" t="s">
        <v>3912</v>
      </c>
      <c r="E333" s="8" t="s">
        <v>383</v>
      </c>
      <c r="F333" s="8" t="s">
        <v>4634</v>
      </c>
      <c r="G333" s="8" t="str">
        <f>"27"</f>
        <v>27</v>
      </c>
      <c r="H333" s="8" t="str">
        <f>"30141"</f>
        <v>30141</v>
      </c>
      <c r="I333" s="8" t="s">
        <v>13</v>
      </c>
      <c r="J333" s="8" t="s">
        <v>927</v>
      </c>
      <c r="K333" s="8" t="s">
        <v>14</v>
      </c>
    </row>
    <row r="334" spans="1:11" x14ac:dyDescent="0.3">
      <c r="A334" s="8">
        <v>331</v>
      </c>
      <c r="B334" s="8" t="s">
        <v>1626</v>
      </c>
      <c r="C334" s="8" t="s">
        <v>4635</v>
      </c>
      <c r="D334" s="8" t="s">
        <v>3912</v>
      </c>
      <c r="E334" s="8" t="s">
        <v>383</v>
      </c>
      <c r="F334" s="8" t="s">
        <v>455</v>
      </c>
      <c r="G334" s="8" t="str">
        <f>"34"</f>
        <v>34</v>
      </c>
      <c r="H334" s="8" t="str">
        <f>"30172"</f>
        <v>30172</v>
      </c>
      <c r="I334" s="8" t="s">
        <v>13</v>
      </c>
      <c r="J334" s="8" t="s">
        <v>927</v>
      </c>
      <c r="K334" s="8" t="s">
        <v>14</v>
      </c>
    </row>
    <row r="335" spans="1:11" x14ac:dyDescent="0.3">
      <c r="A335" s="8">
        <v>332</v>
      </c>
      <c r="B335" s="8" t="s">
        <v>1626</v>
      </c>
      <c r="C335" s="8" t="s">
        <v>4636</v>
      </c>
      <c r="D335" s="8" t="s">
        <v>3912</v>
      </c>
      <c r="E335" s="8" t="s">
        <v>383</v>
      </c>
      <c r="F335" s="8" t="s">
        <v>4637</v>
      </c>
      <c r="G335" s="8" t="str">
        <f>"5811"</f>
        <v>5811</v>
      </c>
      <c r="H335" s="8" t="str">
        <f>"30122"</f>
        <v>30122</v>
      </c>
      <c r="I335" s="8" t="s">
        <v>13</v>
      </c>
      <c r="J335" s="8" t="s">
        <v>927</v>
      </c>
      <c r="K335" s="8" t="s">
        <v>14</v>
      </c>
    </row>
    <row r="336" spans="1:11" x14ac:dyDescent="0.3">
      <c r="A336" s="8">
        <v>333</v>
      </c>
      <c r="B336" s="8" t="s">
        <v>1626</v>
      </c>
      <c r="C336" s="8" t="s">
        <v>4638</v>
      </c>
      <c r="D336" s="8" t="s">
        <v>3912</v>
      </c>
      <c r="E336" s="8" t="s">
        <v>383</v>
      </c>
      <c r="F336" s="8" t="s">
        <v>4639</v>
      </c>
      <c r="G336" s="8" t="str">
        <f>"SNC"</f>
        <v>SNC</v>
      </c>
      <c r="H336" s="8" t="str">
        <f>"30174"</f>
        <v>30174</v>
      </c>
      <c r="I336" s="8" t="s">
        <v>13</v>
      </c>
      <c r="J336" s="8" t="s">
        <v>927</v>
      </c>
      <c r="K336" s="8" t="s">
        <v>14</v>
      </c>
    </row>
    <row r="337" spans="1:11" x14ac:dyDescent="0.3">
      <c r="A337" s="8">
        <v>334</v>
      </c>
      <c r="B337" s="8" t="s">
        <v>1626</v>
      </c>
      <c r="C337" s="8" t="s">
        <v>4640</v>
      </c>
      <c r="D337" s="8" t="s">
        <v>3912</v>
      </c>
      <c r="E337" s="8" t="s">
        <v>383</v>
      </c>
      <c r="F337" s="8" t="s">
        <v>4507</v>
      </c>
      <c r="G337" s="8" t="str">
        <f>"3660"</f>
        <v>3660</v>
      </c>
      <c r="H337" s="8" t="str">
        <f>"30121"</f>
        <v>30121</v>
      </c>
      <c r="I337" s="8" t="s">
        <v>13</v>
      </c>
      <c r="J337" s="8" t="s">
        <v>927</v>
      </c>
      <c r="K337" s="8" t="s">
        <v>14</v>
      </c>
    </row>
    <row r="338" spans="1:11" x14ac:dyDescent="0.3">
      <c r="A338" s="8">
        <v>335</v>
      </c>
      <c r="B338" s="8" t="s">
        <v>1626</v>
      </c>
      <c r="C338" s="8" t="s">
        <v>4641</v>
      </c>
      <c r="D338" s="8" t="s">
        <v>3912</v>
      </c>
      <c r="E338" s="8" t="s">
        <v>383</v>
      </c>
      <c r="F338" s="8" t="s">
        <v>4477</v>
      </c>
      <c r="G338" s="8" t="str">
        <f>"SNC"</f>
        <v>SNC</v>
      </c>
      <c r="H338" s="8" t="str">
        <f>"30175"</f>
        <v>30175</v>
      </c>
      <c r="I338" s="8" t="s">
        <v>13</v>
      </c>
      <c r="J338" s="8" t="s">
        <v>927</v>
      </c>
      <c r="K338" s="8" t="s">
        <v>14</v>
      </c>
    </row>
    <row r="339" spans="1:11" x14ac:dyDescent="0.3">
      <c r="A339" s="8">
        <v>336</v>
      </c>
      <c r="B339" s="8" t="s">
        <v>1626</v>
      </c>
      <c r="C339" s="8" t="s">
        <v>4642</v>
      </c>
      <c r="D339" s="8" t="s">
        <v>3912</v>
      </c>
      <c r="E339" s="8" t="s">
        <v>383</v>
      </c>
      <c r="F339" s="8" t="s">
        <v>4643</v>
      </c>
      <c r="G339" s="8" t="str">
        <f>"4173"</f>
        <v>4173</v>
      </c>
      <c r="H339" s="8" t="str">
        <f>"30100"</f>
        <v>30100</v>
      </c>
      <c r="I339" s="8" t="s">
        <v>13</v>
      </c>
      <c r="J339" s="8" t="s">
        <v>927</v>
      </c>
      <c r="K339" s="8" t="s">
        <v>14</v>
      </c>
    </row>
    <row r="340" spans="1:11" x14ac:dyDescent="0.3">
      <c r="A340" s="8">
        <v>337</v>
      </c>
      <c r="B340" s="8" t="s">
        <v>1626</v>
      </c>
      <c r="C340" s="8" t="s">
        <v>2317</v>
      </c>
      <c r="D340" s="8" t="s">
        <v>3912</v>
      </c>
      <c r="E340" s="8" t="s">
        <v>383</v>
      </c>
      <c r="F340" s="8" t="s">
        <v>276</v>
      </c>
      <c r="G340" s="8" t="str">
        <f>"19"</f>
        <v>19</v>
      </c>
      <c r="H340" s="8" t="str">
        <f>"30126"</f>
        <v>30126</v>
      </c>
      <c r="I340" s="8" t="s">
        <v>13</v>
      </c>
      <c r="J340" s="8" t="s">
        <v>927</v>
      </c>
      <c r="K340" s="8" t="s">
        <v>14</v>
      </c>
    </row>
    <row r="341" spans="1:11" x14ac:dyDescent="0.3">
      <c r="A341" s="8">
        <v>338</v>
      </c>
      <c r="B341" s="8" t="s">
        <v>1626</v>
      </c>
      <c r="C341" s="8" t="s">
        <v>2317</v>
      </c>
      <c r="D341" s="8" t="s">
        <v>3912</v>
      </c>
      <c r="E341" s="8" t="s">
        <v>383</v>
      </c>
      <c r="F341" s="8" t="s">
        <v>4644</v>
      </c>
      <c r="G341" s="8" t="str">
        <f>"16"</f>
        <v>16</v>
      </c>
      <c r="H341" s="8" t="str">
        <f>"30126"</f>
        <v>30126</v>
      </c>
      <c r="I341" s="8" t="s">
        <v>13</v>
      </c>
      <c r="J341" s="8" t="s">
        <v>927</v>
      </c>
      <c r="K341" s="8" t="s">
        <v>14</v>
      </c>
    </row>
    <row r="342" spans="1:11" x14ac:dyDescent="0.3">
      <c r="A342" s="7">
        <v>339</v>
      </c>
      <c r="B342" s="7" t="s">
        <v>4645</v>
      </c>
      <c r="C342" s="7" t="s">
        <v>4646</v>
      </c>
      <c r="D342" s="7" t="s">
        <v>3912</v>
      </c>
      <c r="E342" s="7" t="s">
        <v>383</v>
      </c>
      <c r="F342" s="7" t="s">
        <v>4647</v>
      </c>
      <c r="G342" s="7" t="str">
        <f>"5495/96"</f>
        <v>5495/96</v>
      </c>
      <c r="H342" s="7" t="str">
        <f>"30124"</f>
        <v>30124</v>
      </c>
      <c r="I342" s="7" t="s">
        <v>13</v>
      </c>
      <c r="J342" s="7" t="s">
        <v>925</v>
      </c>
      <c r="K342" s="7" t="s">
        <v>14</v>
      </c>
    </row>
    <row r="343" spans="1:11" x14ac:dyDescent="0.3">
      <c r="A343" s="7">
        <v>340</v>
      </c>
      <c r="B343" s="7" t="s">
        <v>4648</v>
      </c>
      <c r="C343" s="7" t="s">
        <v>4649</v>
      </c>
      <c r="D343" s="7" t="s">
        <v>3912</v>
      </c>
      <c r="E343" s="7" t="s">
        <v>383</v>
      </c>
      <c r="F343" s="7" t="s">
        <v>4650</v>
      </c>
      <c r="G343" s="7" t="str">
        <f>"65"</f>
        <v>65</v>
      </c>
      <c r="H343" s="7" t="str">
        <f>"30174"</f>
        <v>30174</v>
      </c>
      <c r="I343" s="7" t="s">
        <v>13</v>
      </c>
      <c r="J343" s="7" t="s">
        <v>925</v>
      </c>
      <c r="K343" s="7" t="s">
        <v>3871</v>
      </c>
    </row>
    <row r="344" spans="1:11" x14ac:dyDescent="0.3">
      <c r="A344" s="8">
        <v>341</v>
      </c>
      <c r="B344" s="8" t="s">
        <v>4651</v>
      </c>
      <c r="C344" s="8" t="s">
        <v>4652</v>
      </c>
      <c r="D344" s="8" t="s">
        <v>3912</v>
      </c>
      <c r="E344" s="8" t="s">
        <v>383</v>
      </c>
      <c r="F344" s="8" t="s">
        <v>4631</v>
      </c>
      <c r="G344" s="8" t="str">
        <f>"164/B"</f>
        <v>164/B</v>
      </c>
      <c r="H344" s="8" t="str">
        <f>"30174"</f>
        <v>30174</v>
      </c>
      <c r="I344" s="8" t="s">
        <v>13</v>
      </c>
      <c r="J344" s="8" t="s">
        <v>927</v>
      </c>
      <c r="K344" s="8" t="s">
        <v>205</v>
      </c>
    </row>
    <row r="345" spans="1:11" x14ac:dyDescent="0.3">
      <c r="A345" s="7">
        <v>342</v>
      </c>
      <c r="B345" s="7" t="s">
        <v>4653</v>
      </c>
      <c r="C345" s="7" t="s">
        <v>4654</v>
      </c>
      <c r="D345" s="7" t="s">
        <v>3912</v>
      </c>
      <c r="E345" s="7" t="s">
        <v>383</v>
      </c>
      <c r="F345" s="7" t="s">
        <v>4655</v>
      </c>
      <c r="G345" s="7" t="str">
        <f>"3"</f>
        <v>3</v>
      </c>
      <c r="H345" s="7" t="str">
        <f>"30171"</f>
        <v>30171</v>
      </c>
      <c r="I345" s="7" t="s">
        <v>13</v>
      </c>
      <c r="J345" s="7" t="s">
        <v>925</v>
      </c>
      <c r="K345" s="7" t="s">
        <v>224</v>
      </c>
    </row>
    <row r="346" spans="1:11" x14ac:dyDescent="0.3">
      <c r="A346" s="7">
        <v>343</v>
      </c>
      <c r="B346" s="7" t="s">
        <v>4656</v>
      </c>
      <c r="C346" s="7" t="s">
        <v>4657</v>
      </c>
      <c r="D346" s="7" t="s">
        <v>3912</v>
      </c>
      <c r="E346" s="7" t="s">
        <v>383</v>
      </c>
      <c r="F346" s="7" t="s">
        <v>4507</v>
      </c>
      <c r="G346" s="7" t="str">
        <f>"108"</f>
        <v>108</v>
      </c>
      <c r="H346" s="7" t="str">
        <f>"30121"</f>
        <v>30121</v>
      </c>
      <c r="I346" s="7" t="s">
        <v>13</v>
      </c>
      <c r="J346" s="7" t="s">
        <v>925</v>
      </c>
      <c r="K346" s="7" t="s">
        <v>43</v>
      </c>
    </row>
    <row r="347" spans="1:11" x14ac:dyDescent="0.3">
      <c r="A347" s="7">
        <v>344</v>
      </c>
      <c r="B347" s="7" t="s">
        <v>4658</v>
      </c>
      <c r="C347" s="7" t="s">
        <v>4659</v>
      </c>
      <c r="D347" s="7" t="s">
        <v>3912</v>
      </c>
      <c r="E347" s="7" t="s">
        <v>383</v>
      </c>
      <c r="F347" s="7" t="s">
        <v>4230</v>
      </c>
      <c r="G347" s="7" t="str">
        <f>"239"</f>
        <v>239</v>
      </c>
      <c r="H347" s="7" t="str">
        <f>"30174"</f>
        <v>30174</v>
      </c>
      <c r="I347" s="7" t="s">
        <v>13</v>
      </c>
      <c r="J347" s="7" t="s">
        <v>925</v>
      </c>
      <c r="K347" s="7" t="s">
        <v>20</v>
      </c>
    </row>
    <row r="348" spans="1:11" x14ac:dyDescent="0.3">
      <c r="A348" s="7">
        <v>345</v>
      </c>
      <c r="B348" s="7" t="s">
        <v>4660</v>
      </c>
      <c r="C348" s="7" t="s">
        <v>4661</v>
      </c>
      <c r="D348" s="7" t="s">
        <v>3912</v>
      </c>
      <c r="E348" s="7" t="s">
        <v>383</v>
      </c>
      <c r="F348" s="7" t="s">
        <v>4247</v>
      </c>
      <c r="G348" s="7" t="str">
        <f>"99"</f>
        <v>99</v>
      </c>
      <c r="H348" s="7" t="str">
        <f>"30173"</f>
        <v>30173</v>
      </c>
      <c r="I348" s="7" t="s">
        <v>13</v>
      </c>
      <c r="J348" s="7" t="s">
        <v>925</v>
      </c>
      <c r="K348" s="7" t="s">
        <v>58</v>
      </c>
    </row>
    <row r="349" spans="1:11" x14ac:dyDescent="0.3">
      <c r="A349" s="8">
        <v>346</v>
      </c>
      <c r="B349" s="8" t="s">
        <v>990</v>
      </c>
      <c r="C349" s="8" t="s">
        <v>86</v>
      </c>
      <c r="D349" s="8" t="s">
        <v>3912</v>
      </c>
      <c r="E349" s="8" t="s">
        <v>383</v>
      </c>
      <c r="F349" s="8" t="s">
        <v>4662</v>
      </c>
      <c r="G349" s="8" t="str">
        <f>"8"</f>
        <v>8</v>
      </c>
      <c r="H349" s="8" t="str">
        <f>"30174"</f>
        <v>30174</v>
      </c>
      <c r="I349" s="8" t="s">
        <v>13</v>
      </c>
      <c r="J349" s="8" t="s">
        <v>927</v>
      </c>
      <c r="K349" s="8" t="s">
        <v>14</v>
      </c>
    </row>
    <row r="350" spans="1:11" x14ac:dyDescent="0.3">
      <c r="A350" s="8">
        <v>347</v>
      </c>
      <c r="B350" s="8" t="s">
        <v>990</v>
      </c>
      <c r="C350" s="8" t="s">
        <v>86</v>
      </c>
      <c r="D350" s="8" t="s">
        <v>3912</v>
      </c>
      <c r="E350" s="8" t="s">
        <v>383</v>
      </c>
      <c r="F350" s="8" t="s">
        <v>4663</v>
      </c>
      <c r="G350" s="8" t="str">
        <f>"114"</f>
        <v>114</v>
      </c>
      <c r="H350" s="8" t="str">
        <f>"30173"</f>
        <v>30173</v>
      </c>
      <c r="I350" s="8" t="s">
        <v>13</v>
      </c>
      <c r="J350" s="8" t="s">
        <v>927</v>
      </c>
      <c r="K350" s="8" t="s">
        <v>14</v>
      </c>
    </row>
    <row r="351" spans="1:11" x14ac:dyDescent="0.3">
      <c r="A351" s="10">
        <v>348</v>
      </c>
      <c r="B351" s="10" t="s">
        <v>4664</v>
      </c>
      <c r="C351" s="10" t="s">
        <v>4665</v>
      </c>
      <c r="D351" s="10" t="s">
        <v>3912</v>
      </c>
      <c r="E351" s="10" t="s">
        <v>383</v>
      </c>
      <c r="F351" s="10" t="s">
        <v>3409</v>
      </c>
      <c r="G351" s="10" t="str">
        <f>"2"</f>
        <v>2</v>
      </c>
      <c r="H351" s="10" t="str">
        <f>"30171"</f>
        <v>30171</v>
      </c>
      <c r="I351" s="10" t="s">
        <v>13</v>
      </c>
      <c r="J351" s="10" t="s">
        <v>926</v>
      </c>
      <c r="K351" s="10" t="s">
        <v>43</v>
      </c>
    </row>
    <row r="352" spans="1:11" x14ac:dyDescent="0.3">
      <c r="A352" s="7">
        <v>349</v>
      </c>
      <c r="B352" s="7" t="s">
        <v>1628</v>
      </c>
      <c r="C352" s="7" t="s">
        <v>4666</v>
      </c>
      <c r="D352" s="7" t="s">
        <v>3912</v>
      </c>
      <c r="E352" s="7" t="s">
        <v>383</v>
      </c>
      <c r="F352" s="7" t="s">
        <v>4197</v>
      </c>
      <c r="G352" s="7" t="str">
        <f>"13"</f>
        <v>13</v>
      </c>
      <c r="H352" s="7" t="str">
        <f>"30174"</f>
        <v>30174</v>
      </c>
      <c r="I352" s="7" t="s">
        <v>13</v>
      </c>
      <c r="J352" s="7" t="s">
        <v>925</v>
      </c>
      <c r="K352" s="7" t="s">
        <v>36</v>
      </c>
    </row>
    <row r="353" spans="1:11" x14ac:dyDescent="0.3">
      <c r="A353" s="7">
        <v>350</v>
      </c>
      <c r="B353" s="7" t="s">
        <v>4667</v>
      </c>
      <c r="C353" s="7" t="s">
        <v>4668</v>
      </c>
      <c r="D353" s="7" t="s">
        <v>3912</v>
      </c>
      <c r="E353" s="7" t="s">
        <v>383</v>
      </c>
      <c r="F353" s="7" t="s">
        <v>4631</v>
      </c>
      <c r="G353" s="7" t="str">
        <f>"223"</f>
        <v>223</v>
      </c>
      <c r="H353" s="7" t="str">
        <f>"30174"</f>
        <v>30174</v>
      </c>
      <c r="I353" s="7" t="s">
        <v>13</v>
      </c>
      <c r="J353" s="7" t="s">
        <v>925</v>
      </c>
      <c r="K353" s="7" t="s">
        <v>14</v>
      </c>
    </row>
    <row r="354" spans="1:11" x14ac:dyDescent="0.3">
      <c r="A354" s="7">
        <v>351</v>
      </c>
      <c r="B354" s="7" t="s">
        <v>4669</v>
      </c>
      <c r="C354" s="7" t="s">
        <v>4670</v>
      </c>
      <c r="D354" s="7" t="s">
        <v>3912</v>
      </c>
      <c r="E354" s="7" t="s">
        <v>383</v>
      </c>
      <c r="F354" s="7" t="s">
        <v>4671</v>
      </c>
      <c r="G354" s="7" t="str">
        <f>"466/D"</f>
        <v>466/D</v>
      </c>
      <c r="H354" s="7" t="str">
        <f>"30121"</f>
        <v>30121</v>
      </c>
      <c r="I354" s="7" t="s">
        <v>13</v>
      </c>
      <c r="J354" s="7" t="s">
        <v>925</v>
      </c>
      <c r="K354" s="7" t="s">
        <v>20</v>
      </c>
    </row>
    <row r="355" spans="1:11" x14ac:dyDescent="0.3">
      <c r="A355" s="7">
        <v>352</v>
      </c>
      <c r="B355" s="7" t="s">
        <v>4672</v>
      </c>
      <c r="C355" s="7" t="s">
        <v>4673</v>
      </c>
      <c r="D355" s="7" t="s">
        <v>3912</v>
      </c>
      <c r="E355" s="7" t="s">
        <v>383</v>
      </c>
      <c r="F355" s="7" t="s">
        <v>4507</v>
      </c>
      <c r="G355" s="7" t="str">
        <f>"59"</f>
        <v>59</v>
      </c>
      <c r="H355" s="7" t="str">
        <f>"30121"</f>
        <v>30121</v>
      </c>
      <c r="I355" s="7" t="s">
        <v>13</v>
      </c>
      <c r="J355" s="7" t="s">
        <v>925</v>
      </c>
      <c r="K355" s="7" t="s">
        <v>14</v>
      </c>
    </row>
    <row r="356" spans="1:11" x14ac:dyDescent="0.3">
      <c r="A356" s="10">
        <v>353</v>
      </c>
      <c r="B356" s="10" t="s">
        <v>4674</v>
      </c>
      <c r="C356" s="10" t="s">
        <v>4675</v>
      </c>
      <c r="D356" s="10" t="s">
        <v>3912</v>
      </c>
      <c r="E356" s="10" t="s">
        <v>383</v>
      </c>
      <c r="F356" s="10" t="s">
        <v>4676</v>
      </c>
      <c r="G356" s="10" t="str">
        <f>"5042"</f>
        <v>5042</v>
      </c>
      <c r="H356" s="10" t="str">
        <f>"30121"</f>
        <v>30121</v>
      </c>
      <c r="I356" s="10" t="s">
        <v>13</v>
      </c>
      <c r="J356" s="10" t="s">
        <v>926</v>
      </c>
      <c r="K356" s="10" t="s">
        <v>20</v>
      </c>
    </row>
    <row r="357" spans="1:11" x14ac:dyDescent="0.3">
      <c r="A357" s="10">
        <v>354</v>
      </c>
      <c r="B357" s="10" t="s">
        <v>4677</v>
      </c>
      <c r="C357" s="10" t="s">
        <v>4678</v>
      </c>
      <c r="D357" s="10" t="s">
        <v>3912</v>
      </c>
      <c r="E357" s="10" t="s">
        <v>383</v>
      </c>
      <c r="F357" s="10" t="s">
        <v>4679</v>
      </c>
      <c r="G357" s="10" t="str">
        <f>"150"</f>
        <v>150</v>
      </c>
      <c r="H357" s="10" t="str">
        <f>"30121"</f>
        <v>30121</v>
      </c>
      <c r="I357" s="10" t="s">
        <v>13</v>
      </c>
      <c r="J357" s="10" t="s">
        <v>926</v>
      </c>
      <c r="K357" s="10" t="s">
        <v>14</v>
      </c>
    </row>
    <row r="358" spans="1:11" x14ac:dyDescent="0.3">
      <c r="A358" s="7">
        <v>355</v>
      </c>
      <c r="B358" s="7" t="s">
        <v>4680</v>
      </c>
      <c r="C358" s="7" t="s">
        <v>4681</v>
      </c>
      <c r="D358" s="7" t="s">
        <v>3912</v>
      </c>
      <c r="E358" s="7" t="s">
        <v>383</v>
      </c>
      <c r="F358" s="7" t="s">
        <v>4628</v>
      </c>
      <c r="G358" s="7" t="str">
        <f>"5281"</f>
        <v>5281</v>
      </c>
      <c r="H358" s="7" t="str">
        <f>"30122"</f>
        <v>30122</v>
      </c>
      <c r="I358" s="7" t="s">
        <v>13</v>
      </c>
      <c r="J358" s="7" t="s">
        <v>925</v>
      </c>
      <c r="K358" s="7" t="s">
        <v>43</v>
      </c>
    </row>
    <row r="359" spans="1:11" x14ac:dyDescent="0.3">
      <c r="A359" s="7">
        <v>356</v>
      </c>
      <c r="B359" s="7" t="s">
        <v>4682</v>
      </c>
      <c r="C359" s="7" t="s">
        <v>4683</v>
      </c>
      <c r="D359" s="7" t="s">
        <v>3912</v>
      </c>
      <c r="E359" s="7" t="s">
        <v>383</v>
      </c>
      <c r="F359" s="7" t="s">
        <v>4684</v>
      </c>
      <c r="G359" s="7" t="str">
        <f>"1414"</f>
        <v>1414</v>
      </c>
      <c r="H359" s="7" t="str">
        <f>"30123"</f>
        <v>30123</v>
      </c>
      <c r="I359" s="7" t="s">
        <v>13</v>
      </c>
      <c r="J359" s="7" t="s">
        <v>925</v>
      </c>
      <c r="K359" s="7" t="s">
        <v>14</v>
      </c>
    </row>
    <row r="360" spans="1:11" x14ac:dyDescent="0.3">
      <c r="A360" s="7">
        <v>357</v>
      </c>
      <c r="B360" s="7" t="s">
        <v>4685</v>
      </c>
      <c r="C360" s="7" t="s">
        <v>4686</v>
      </c>
      <c r="D360" s="7" t="s">
        <v>3912</v>
      </c>
      <c r="E360" s="7" t="s">
        <v>383</v>
      </c>
      <c r="F360" s="7" t="s">
        <v>4687</v>
      </c>
      <c r="G360" s="7" t="str">
        <f>"17"</f>
        <v>17</v>
      </c>
      <c r="H360" s="7" t="str">
        <f>"30172"</f>
        <v>30172</v>
      </c>
      <c r="I360" s="7" t="s">
        <v>13</v>
      </c>
      <c r="J360" s="7" t="s">
        <v>925</v>
      </c>
      <c r="K360" s="7" t="s">
        <v>14</v>
      </c>
    </row>
    <row r="361" spans="1:11" x14ac:dyDescent="0.3">
      <c r="A361" s="10">
        <v>358</v>
      </c>
      <c r="B361" s="10" t="s">
        <v>4688</v>
      </c>
      <c r="C361" s="10" t="s">
        <v>4689</v>
      </c>
      <c r="D361" s="10" t="s">
        <v>3912</v>
      </c>
      <c r="E361" s="10" t="s">
        <v>383</v>
      </c>
      <c r="F361" s="10" t="s">
        <v>455</v>
      </c>
      <c r="G361" s="10" t="str">
        <f>"21"</f>
        <v>21</v>
      </c>
      <c r="H361" s="10" t="str">
        <f>"30172"</f>
        <v>30172</v>
      </c>
      <c r="I361" s="10" t="s">
        <v>13</v>
      </c>
      <c r="J361" s="10" t="s">
        <v>926</v>
      </c>
      <c r="K361" s="10" t="s">
        <v>14</v>
      </c>
    </row>
    <row r="362" spans="1:11" x14ac:dyDescent="0.3">
      <c r="A362" s="20">
        <v>359</v>
      </c>
      <c r="B362" s="20" t="s">
        <v>4690</v>
      </c>
      <c r="C362" s="20" t="s">
        <v>4691</v>
      </c>
      <c r="D362" s="20" t="s">
        <v>3912</v>
      </c>
      <c r="E362" s="20" t="s">
        <v>383</v>
      </c>
      <c r="F362" s="20" t="s">
        <v>4544</v>
      </c>
      <c r="G362" s="20" t="str">
        <f>"5529"</f>
        <v>5529</v>
      </c>
      <c r="H362" s="20" t="str">
        <f>"30124"</f>
        <v>30124</v>
      </c>
      <c r="I362" s="20" t="s">
        <v>13</v>
      </c>
      <c r="J362" s="20" t="s">
        <v>928</v>
      </c>
      <c r="K362" s="20" t="s">
        <v>43</v>
      </c>
    </row>
    <row r="363" spans="1:11" x14ac:dyDescent="0.3">
      <c r="A363" s="10">
        <v>360</v>
      </c>
      <c r="B363" s="10" t="s">
        <v>4692</v>
      </c>
      <c r="C363" s="10" t="s">
        <v>4693</v>
      </c>
      <c r="D363" s="10" t="s">
        <v>3912</v>
      </c>
      <c r="E363" s="10" t="s">
        <v>383</v>
      </c>
      <c r="F363" s="10" t="s">
        <v>290</v>
      </c>
      <c r="G363" s="10" t="str">
        <f>"3"</f>
        <v>3</v>
      </c>
      <c r="H363" s="10" t="str">
        <f>"30124"</f>
        <v>30124</v>
      </c>
      <c r="I363" s="10" t="s">
        <v>13</v>
      </c>
      <c r="J363" s="10" t="s">
        <v>926</v>
      </c>
      <c r="K363" s="10" t="s">
        <v>14</v>
      </c>
    </row>
    <row r="364" spans="1:11" x14ac:dyDescent="0.3">
      <c r="A364" s="8">
        <v>361</v>
      </c>
      <c r="B364" s="8" t="s">
        <v>4694</v>
      </c>
      <c r="C364" s="8" t="s">
        <v>4695</v>
      </c>
      <c r="D364" s="8" t="s">
        <v>3912</v>
      </c>
      <c r="E364" s="8" t="s">
        <v>383</v>
      </c>
      <c r="F364" s="8" t="s">
        <v>4696</v>
      </c>
      <c r="G364" s="8" t="str">
        <f>"2910/13"</f>
        <v>2910/13</v>
      </c>
      <c r="H364" s="8" t="str">
        <f>"30122"</f>
        <v>30122</v>
      </c>
      <c r="I364" s="8" t="s">
        <v>13</v>
      </c>
      <c r="J364" s="8" t="s">
        <v>927</v>
      </c>
      <c r="K364" s="8" t="s">
        <v>20</v>
      </c>
    </row>
    <row r="365" spans="1:11" x14ac:dyDescent="0.3">
      <c r="A365" s="10">
        <v>362</v>
      </c>
      <c r="B365" s="10" t="s">
        <v>4697</v>
      </c>
      <c r="C365" s="10" t="s">
        <v>4698</v>
      </c>
      <c r="D365" s="10" t="s">
        <v>3912</v>
      </c>
      <c r="E365" s="10" t="s">
        <v>383</v>
      </c>
      <c r="F365" s="10" t="s">
        <v>4544</v>
      </c>
      <c r="G365" s="10" t="str">
        <f>"951"</f>
        <v>951</v>
      </c>
      <c r="H365" s="10" t="str">
        <f>"30124"</f>
        <v>30124</v>
      </c>
      <c r="I365" s="10" t="s">
        <v>13</v>
      </c>
      <c r="J365" s="10" t="s">
        <v>926</v>
      </c>
      <c r="K365" s="10" t="s">
        <v>20</v>
      </c>
    </row>
    <row r="366" spans="1:11" x14ac:dyDescent="0.3">
      <c r="A366" s="7">
        <v>363</v>
      </c>
      <c r="B366" s="7" t="s">
        <v>4699</v>
      </c>
      <c r="C366" s="7" t="s">
        <v>4700</v>
      </c>
      <c r="D366" s="7" t="s">
        <v>3912</v>
      </c>
      <c r="E366" s="7" t="s">
        <v>383</v>
      </c>
      <c r="F366" s="7" t="s">
        <v>4577</v>
      </c>
      <c r="G366" s="7" t="str">
        <f>"142"</f>
        <v>142</v>
      </c>
      <c r="H366" s="7" t="str">
        <f>"30173"</f>
        <v>30173</v>
      </c>
      <c r="I366" s="7" t="s">
        <v>13</v>
      </c>
      <c r="J366" s="7" t="s">
        <v>925</v>
      </c>
      <c r="K366" s="7" t="s">
        <v>43</v>
      </c>
    </row>
    <row r="367" spans="1:11" x14ac:dyDescent="0.3">
      <c r="A367" s="21">
        <v>364</v>
      </c>
      <c r="B367" s="21" t="s">
        <v>4701</v>
      </c>
      <c r="C367" s="21" t="s">
        <v>4702</v>
      </c>
      <c r="D367" s="21" t="s">
        <v>3912</v>
      </c>
      <c r="E367" s="21" t="s">
        <v>383</v>
      </c>
      <c r="F367" s="21" t="s">
        <v>4703</v>
      </c>
      <c r="G367" s="21" t="str">
        <f>"16"</f>
        <v>16</v>
      </c>
      <c r="H367" s="21" t="str">
        <f>"30175"</f>
        <v>30175</v>
      </c>
      <c r="I367" s="21" t="s">
        <v>13</v>
      </c>
      <c r="J367" s="21" t="s">
        <v>924</v>
      </c>
      <c r="K367" s="21" t="s">
        <v>14</v>
      </c>
    </row>
    <row r="368" spans="1:11" x14ac:dyDescent="0.3">
      <c r="A368" s="10">
        <v>365</v>
      </c>
      <c r="B368" s="10" t="s">
        <v>4701</v>
      </c>
      <c r="C368" s="10" t="s">
        <v>4704</v>
      </c>
      <c r="D368" s="10" t="s">
        <v>3912</v>
      </c>
      <c r="E368" s="10" t="s">
        <v>383</v>
      </c>
      <c r="F368" s="10" t="s">
        <v>1967</v>
      </c>
      <c r="G368" s="10" t="str">
        <f>"155"</f>
        <v>155</v>
      </c>
      <c r="H368" s="10" t="str">
        <f>"30172"</f>
        <v>30172</v>
      </c>
      <c r="I368" s="10" t="s">
        <v>13</v>
      </c>
      <c r="J368" s="10" t="s">
        <v>926</v>
      </c>
      <c r="K368" s="10" t="s">
        <v>14</v>
      </c>
    </row>
    <row r="369" spans="1:11" x14ac:dyDescent="0.3">
      <c r="A369" s="10">
        <v>366</v>
      </c>
      <c r="B369" s="10" t="s">
        <v>4701</v>
      </c>
      <c r="C369" s="10" t="s">
        <v>4705</v>
      </c>
      <c r="D369" s="10" t="s">
        <v>3912</v>
      </c>
      <c r="E369" s="10" t="s">
        <v>383</v>
      </c>
      <c r="F369" s="10" t="s">
        <v>4703</v>
      </c>
      <c r="G369" s="10" t="str">
        <f>"16"</f>
        <v>16</v>
      </c>
      <c r="H369" s="10" t="str">
        <f>"30175"</f>
        <v>30175</v>
      </c>
      <c r="I369" s="10" t="s">
        <v>13</v>
      </c>
      <c r="J369" s="10" t="s">
        <v>926</v>
      </c>
      <c r="K369" s="10" t="s">
        <v>14</v>
      </c>
    </row>
    <row r="370" spans="1:11" x14ac:dyDescent="0.3">
      <c r="A370" s="10">
        <v>367</v>
      </c>
      <c r="B370" s="10" t="s">
        <v>4706</v>
      </c>
      <c r="C370" s="10" t="s">
        <v>4707</v>
      </c>
      <c r="D370" s="10" t="s">
        <v>3912</v>
      </c>
      <c r="E370" s="10" t="s">
        <v>383</v>
      </c>
      <c r="F370" s="10" t="s">
        <v>4708</v>
      </c>
      <c r="G370" s="10" t="str">
        <f>"1076"</f>
        <v>1076</v>
      </c>
      <c r="H370" s="10" t="str">
        <f>"30124"</f>
        <v>30124</v>
      </c>
      <c r="I370" s="10" t="s">
        <v>13</v>
      </c>
      <c r="J370" s="10" t="s">
        <v>926</v>
      </c>
      <c r="K370" s="10" t="s">
        <v>14</v>
      </c>
    </row>
    <row r="371" spans="1:11" x14ac:dyDescent="0.3">
      <c r="A371" s="10">
        <v>368</v>
      </c>
      <c r="B371" s="10" t="s">
        <v>4709</v>
      </c>
      <c r="C371" s="10" t="s">
        <v>4710</v>
      </c>
      <c r="D371" s="10" t="s">
        <v>3912</v>
      </c>
      <c r="E371" s="10" t="s">
        <v>383</v>
      </c>
      <c r="F371" s="10" t="s">
        <v>4711</v>
      </c>
      <c r="G371" s="10" t="str">
        <f>"4589"</f>
        <v>4589</v>
      </c>
      <c r="H371" s="10" t="str">
        <f>"30124"</f>
        <v>30124</v>
      </c>
      <c r="I371" s="10" t="s">
        <v>13</v>
      </c>
      <c r="J371" s="10" t="s">
        <v>926</v>
      </c>
      <c r="K371" s="10" t="s">
        <v>14</v>
      </c>
    </row>
    <row r="372" spans="1:11" x14ac:dyDescent="0.3">
      <c r="A372" s="20">
        <v>369</v>
      </c>
      <c r="B372" s="20" t="s">
        <v>4712</v>
      </c>
      <c r="C372" s="20" t="s">
        <v>4713</v>
      </c>
      <c r="D372" s="20" t="s">
        <v>3912</v>
      </c>
      <c r="E372" s="20" t="s">
        <v>383</v>
      </c>
      <c r="F372" s="20" t="s">
        <v>4544</v>
      </c>
      <c r="G372" s="20" t="str">
        <f>"5482"</f>
        <v>5482</v>
      </c>
      <c r="H372" s="20" t="str">
        <f>"30124"</f>
        <v>30124</v>
      </c>
      <c r="I372" s="20" t="s">
        <v>13</v>
      </c>
      <c r="J372" s="20" t="s">
        <v>928</v>
      </c>
      <c r="K372" s="20" t="s">
        <v>43</v>
      </c>
    </row>
    <row r="373" spans="1:11" x14ac:dyDescent="0.3">
      <c r="A373" s="10">
        <v>370</v>
      </c>
      <c r="B373" s="10" t="s">
        <v>4714</v>
      </c>
      <c r="C373" s="10" t="s">
        <v>4137</v>
      </c>
      <c r="D373" s="10" t="s">
        <v>3912</v>
      </c>
      <c r="E373" s="10" t="s">
        <v>383</v>
      </c>
      <c r="F373" s="10" t="s">
        <v>1967</v>
      </c>
      <c r="G373" s="10" t="str">
        <f>"34"</f>
        <v>34</v>
      </c>
      <c r="H373" s="10" t="str">
        <f>"30172"</f>
        <v>30172</v>
      </c>
      <c r="I373" s="10" t="s">
        <v>13</v>
      </c>
      <c r="J373" s="10" t="s">
        <v>926</v>
      </c>
      <c r="K373" s="10" t="s">
        <v>20</v>
      </c>
    </row>
    <row r="374" spans="1:11" x14ac:dyDescent="0.3">
      <c r="A374" s="7">
        <v>371</v>
      </c>
      <c r="B374" s="7" t="s">
        <v>4715</v>
      </c>
      <c r="C374" s="7" t="s">
        <v>4716</v>
      </c>
      <c r="D374" s="7" t="s">
        <v>3912</v>
      </c>
      <c r="E374" s="7" t="s">
        <v>383</v>
      </c>
      <c r="F374" s="7" t="s">
        <v>4717</v>
      </c>
      <c r="G374" s="7" t="str">
        <f>"1501"</f>
        <v>1501</v>
      </c>
      <c r="H374" s="7" t="str">
        <f>"30135"</f>
        <v>30135</v>
      </c>
      <c r="I374" s="7" t="s">
        <v>13</v>
      </c>
      <c r="J374" s="7" t="s">
        <v>925</v>
      </c>
      <c r="K374" s="7" t="s">
        <v>27</v>
      </c>
    </row>
    <row r="375" spans="1:11" x14ac:dyDescent="0.3">
      <c r="A375" s="10">
        <v>372</v>
      </c>
      <c r="B375" s="10" t="s">
        <v>4718</v>
      </c>
      <c r="C375" s="10" t="s">
        <v>4719</v>
      </c>
      <c r="D375" s="10" t="s">
        <v>3912</v>
      </c>
      <c r="E375" s="10" t="s">
        <v>383</v>
      </c>
      <c r="F375" s="10" t="s">
        <v>4139</v>
      </c>
      <c r="G375" s="10" t="str">
        <f>"148/A"</f>
        <v>148/A</v>
      </c>
      <c r="H375" s="10" t="str">
        <f>"30173"</f>
        <v>30173</v>
      </c>
      <c r="I375" s="10" t="s">
        <v>13</v>
      </c>
      <c r="J375" s="10" t="s">
        <v>926</v>
      </c>
      <c r="K375" s="10" t="s">
        <v>205</v>
      </c>
    </row>
    <row r="376" spans="1:11" x14ac:dyDescent="0.3">
      <c r="A376" s="10">
        <v>373</v>
      </c>
      <c r="B376" s="10" t="s">
        <v>4720</v>
      </c>
      <c r="C376" s="10" t="s">
        <v>4721</v>
      </c>
      <c r="D376" s="10" t="s">
        <v>3912</v>
      </c>
      <c r="E376" s="10" t="s">
        <v>383</v>
      </c>
      <c r="F376" s="10" t="s">
        <v>4722</v>
      </c>
      <c r="G376" s="10" t="str">
        <f>"23"</f>
        <v>23</v>
      </c>
      <c r="H376" s="10" t="str">
        <f>"30121"</f>
        <v>30121</v>
      </c>
      <c r="I376" s="10" t="s">
        <v>13</v>
      </c>
      <c r="J376" s="10" t="s">
        <v>926</v>
      </c>
      <c r="K376" s="10" t="s">
        <v>165</v>
      </c>
    </row>
    <row r="377" spans="1:11" x14ac:dyDescent="0.3">
      <c r="A377" s="7">
        <v>374</v>
      </c>
      <c r="B377" s="7" t="s">
        <v>4723</v>
      </c>
      <c r="C377" s="7" t="s">
        <v>4724</v>
      </c>
      <c r="D377" s="7" t="s">
        <v>3912</v>
      </c>
      <c r="E377" s="7" t="s">
        <v>383</v>
      </c>
      <c r="F377" s="7" t="s">
        <v>461</v>
      </c>
      <c r="G377" s="7" t="str">
        <f>"122"</f>
        <v>122</v>
      </c>
      <c r="H377" s="7" t="str">
        <f>"30175"</f>
        <v>30175</v>
      </c>
      <c r="I377" s="7" t="s">
        <v>13</v>
      </c>
      <c r="J377" s="7" t="s">
        <v>925</v>
      </c>
      <c r="K377" s="7" t="s">
        <v>205</v>
      </c>
    </row>
    <row r="378" spans="1:11" x14ac:dyDescent="0.3">
      <c r="A378" s="8">
        <v>375</v>
      </c>
      <c r="B378" s="8" t="s">
        <v>4725</v>
      </c>
      <c r="C378" s="8" t="s">
        <v>4726</v>
      </c>
      <c r="D378" s="8" t="s">
        <v>3912</v>
      </c>
      <c r="E378" s="8" t="s">
        <v>383</v>
      </c>
      <c r="F378" s="8" t="s">
        <v>4727</v>
      </c>
      <c r="G378" s="8" t="str">
        <f>"159"</f>
        <v>159</v>
      </c>
      <c r="H378" s="8" t="str">
        <f>"30174"</f>
        <v>30174</v>
      </c>
      <c r="I378" s="8" t="s">
        <v>13</v>
      </c>
      <c r="J378" s="8" t="s">
        <v>927</v>
      </c>
      <c r="K378" s="8" t="s">
        <v>20</v>
      </c>
    </row>
    <row r="379" spans="1:11" x14ac:dyDescent="0.3">
      <c r="A379" s="8">
        <v>376</v>
      </c>
      <c r="B379" s="8" t="s">
        <v>4725</v>
      </c>
      <c r="C379" s="8" t="s">
        <v>4728</v>
      </c>
      <c r="D379" s="8" t="s">
        <v>3912</v>
      </c>
      <c r="E379" s="8" t="s">
        <v>383</v>
      </c>
      <c r="F379" s="8" t="s">
        <v>4729</v>
      </c>
      <c r="G379" s="8" t="str">
        <f>"156/A"</f>
        <v>156/A</v>
      </c>
      <c r="H379" s="8" t="str">
        <f>"30126"</f>
        <v>30126</v>
      </c>
      <c r="I379" s="8" t="s">
        <v>13</v>
      </c>
      <c r="J379" s="8" t="s">
        <v>927</v>
      </c>
      <c r="K379" s="8" t="s">
        <v>20</v>
      </c>
    </row>
    <row r="380" spans="1:11" x14ac:dyDescent="0.3">
      <c r="A380" s="10">
        <v>377</v>
      </c>
      <c r="B380" s="10" t="s">
        <v>4730</v>
      </c>
      <c r="C380" s="10" t="s">
        <v>4731</v>
      </c>
      <c r="D380" s="10" t="s">
        <v>3912</v>
      </c>
      <c r="E380" s="10" t="s">
        <v>383</v>
      </c>
      <c r="F380" s="10" t="s">
        <v>4732</v>
      </c>
      <c r="G380" s="10" t="str">
        <f>"487-487B"</f>
        <v>487-487B</v>
      </c>
      <c r="H380" s="10" t="str">
        <f>"30133"</f>
        <v>30133</v>
      </c>
      <c r="I380" s="10" t="s">
        <v>13</v>
      </c>
      <c r="J380" s="10" t="s">
        <v>926</v>
      </c>
      <c r="K380" s="10" t="s">
        <v>66</v>
      </c>
    </row>
    <row r="381" spans="1:11" x14ac:dyDescent="0.3">
      <c r="A381" s="10">
        <v>378</v>
      </c>
      <c r="B381" s="10" t="s">
        <v>4733</v>
      </c>
      <c r="C381" s="10" t="s">
        <v>4734</v>
      </c>
      <c r="D381" s="10" t="s">
        <v>3912</v>
      </c>
      <c r="E381" s="10" t="s">
        <v>383</v>
      </c>
      <c r="F381" s="10" t="s">
        <v>2578</v>
      </c>
      <c r="G381" s="10" t="str">
        <f>"216"</f>
        <v>216</v>
      </c>
      <c r="H381" s="10" t="str">
        <f>"30174"</f>
        <v>30174</v>
      </c>
      <c r="I381" s="10" t="s">
        <v>13</v>
      </c>
      <c r="J381" s="10" t="s">
        <v>926</v>
      </c>
      <c r="K381" s="10" t="s">
        <v>14</v>
      </c>
    </row>
    <row r="382" spans="1:11" x14ac:dyDescent="0.3">
      <c r="A382" s="10">
        <v>379</v>
      </c>
      <c r="B382" s="10" t="s">
        <v>4735</v>
      </c>
      <c r="C382" s="10" t="s">
        <v>4736</v>
      </c>
      <c r="D382" s="10" t="s">
        <v>3912</v>
      </c>
      <c r="E382" s="10" t="s">
        <v>383</v>
      </c>
      <c r="F382" s="10" t="s">
        <v>4529</v>
      </c>
      <c r="G382" s="10" t="str">
        <f>"18/A"</f>
        <v>18/A</v>
      </c>
      <c r="H382" s="10" t="str">
        <f>"30174"</f>
        <v>30174</v>
      </c>
      <c r="I382" s="10" t="s">
        <v>13</v>
      </c>
      <c r="J382" s="10" t="s">
        <v>926</v>
      </c>
      <c r="K382" s="10" t="s">
        <v>398</v>
      </c>
    </row>
    <row r="383" spans="1:11" x14ac:dyDescent="0.3">
      <c r="A383" s="7">
        <v>380</v>
      </c>
      <c r="B383" s="7" t="s">
        <v>4737</v>
      </c>
      <c r="C383" s="7" t="s">
        <v>4738</v>
      </c>
      <c r="D383" s="7" t="s">
        <v>3912</v>
      </c>
      <c r="E383" s="7" t="s">
        <v>383</v>
      </c>
      <c r="F383" s="7" t="s">
        <v>1967</v>
      </c>
      <c r="G383" s="7" t="str">
        <f>"105/B"</f>
        <v>105/B</v>
      </c>
      <c r="H383" s="7" t="str">
        <f>"30172"</f>
        <v>30172</v>
      </c>
      <c r="I383" s="7" t="s">
        <v>13</v>
      </c>
      <c r="J383" s="7" t="s">
        <v>925</v>
      </c>
      <c r="K383" s="7" t="s">
        <v>14</v>
      </c>
    </row>
    <row r="384" spans="1:11" x14ac:dyDescent="0.3">
      <c r="A384" s="7">
        <v>381</v>
      </c>
      <c r="B384" s="7" t="s">
        <v>4739</v>
      </c>
      <c r="C384" s="7" t="s">
        <v>4740</v>
      </c>
      <c r="D384" s="7" t="s">
        <v>3912</v>
      </c>
      <c r="E384" s="7" t="s">
        <v>383</v>
      </c>
      <c r="F384" s="7" t="s">
        <v>4741</v>
      </c>
      <c r="G384" s="7" t="str">
        <f>"10"</f>
        <v>10</v>
      </c>
      <c r="H384" s="7" t="str">
        <f>"30174"</f>
        <v>30174</v>
      </c>
      <c r="I384" s="7" t="s">
        <v>13</v>
      </c>
      <c r="J384" s="7" t="s">
        <v>925</v>
      </c>
      <c r="K384" s="7" t="s">
        <v>165</v>
      </c>
    </row>
    <row r="385" spans="1:11" x14ac:dyDescent="0.3">
      <c r="A385" s="10">
        <v>382</v>
      </c>
      <c r="B385" s="10" t="s">
        <v>4742</v>
      </c>
      <c r="C385" s="10" t="s">
        <v>4743</v>
      </c>
      <c r="D385" s="10" t="s">
        <v>3912</v>
      </c>
      <c r="E385" s="10" t="s">
        <v>383</v>
      </c>
      <c r="F385" s="10" t="s">
        <v>4547</v>
      </c>
      <c r="G385" s="10" t="str">
        <f>"83/A"</f>
        <v>83/A</v>
      </c>
      <c r="H385" s="10" t="str">
        <f>"30172"</f>
        <v>30172</v>
      </c>
      <c r="I385" s="10" t="s">
        <v>13</v>
      </c>
      <c r="J385" s="10" t="s">
        <v>926</v>
      </c>
      <c r="K385" s="10" t="s">
        <v>20</v>
      </c>
    </row>
    <row r="386" spans="1:11" x14ac:dyDescent="0.3">
      <c r="A386" s="7">
        <v>383</v>
      </c>
      <c r="B386" s="7" t="s">
        <v>4744</v>
      </c>
      <c r="C386" s="7" t="s">
        <v>570</v>
      </c>
      <c r="D386" s="7" t="s">
        <v>3912</v>
      </c>
      <c r="E386" s="7" t="s">
        <v>383</v>
      </c>
      <c r="F386" s="7" t="s">
        <v>4745</v>
      </c>
      <c r="G386" s="7" t="str">
        <f>"19"</f>
        <v>19</v>
      </c>
      <c r="H386" s="7" t="str">
        <f>"30174"</f>
        <v>30174</v>
      </c>
      <c r="I386" s="7" t="s">
        <v>13</v>
      </c>
      <c r="J386" s="7" t="s">
        <v>925</v>
      </c>
      <c r="K386" s="7" t="s">
        <v>572</v>
      </c>
    </row>
    <row r="387" spans="1:11" x14ac:dyDescent="0.3">
      <c r="A387" s="3">
        <v>384</v>
      </c>
      <c r="B387" s="3" t="s">
        <v>4746</v>
      </c>
      <c r="C387" s="3" t="s">
        <v>4295</v>
      </c>
      <c r="D387" s="3" t="s">
        <v>3912</v>
      </c>
      <c r="E387" s="3" t="s">
        <v>383</v>
      </c>
      <c r="F387" s="3" t="s">
        <v>2578</v>
      </c>
      <c r="G387" s="3" t="str">
        <f>"23"</f>
        <v>23</v>
      </c>
      <c r="H387" s="3" t="str">
        <f>"30174"</f>
        <v>30174</v>
      </c>
      <c r="I387" s="3" t="s">
        <v>13</v>
      </c>
      <c r="J387" s="3" t="s">
        <v>1771</v>
      </c>
      <c r="K387" s="3" t="s">
        <v>14</v>
      </c>
    </row>
    <row r="388" spans="1:11" x14ac:dyDescent="0.3">
      <c r="A388" s="7">
        <v>385</v>
      </c>
      <c r="B388" s="7" t="s">
        <v>4747</v>
      </c>
      <c r="C388" s="7" t="s">
        <v>4748</v>
      </c>
      <c r="D388" s="7" t="s">
        <v>3912</v>
      </c>
      <c r="E388" s="7" t="s">
        <v>383</v>
      </c>
      <c r="F388" s="7" t="s">
        <v>4507</v>
      </c>
      <c r="G388" s="7" t="str">
        <f>"158/A"</f>
        <v>158/A</v>
      </c>
      <c r="H388" s="7" t="str">
        <f>"30121"</f>
        <v>30121</v>
      </c>
      <c r="I388" s="7" t="s">
        <v>13</v>
      </c>
      <c r="J388" s="7" t="s">
        <v>925</v>
      </c>
      <c r="K388" s="7" t="s">
        <v>43</v>
      </c>
    </row>
    <row r="389" spans="1:11" x14ac:dyDescent="0.3">
      <c r="A389" s="10">
        <v>386</v>
      </c>
      <c r="B389" s="10" t="s">
        <v>3229</v>
      </c>
      <c r="C389" s="10" t="s">
        <v>4749</v>
      </c>
      <c r="D389" s="10" t="s">
        <v>3912</v>
      </c>
      <c r="E389" s="10" t="s">
        <v>383</v>
      </c>
      <c r="F389" s="10" t="s">
        <v>4750</v>
      </c>
      <c r="G389" s="10" t="str">
        <f>"59"</f>
        <v>59</v>
      </c>
      <c r="H389" s="10" t="str">
        <f>"30175"</f>
        <v>30175</v>
      </c>
      <c r="I389" s="10" t="s">
        <v>13</v>
      </c>
      <c r="J389" s="10" t="s">
        <v>926</v>
      </c>
      <c r="K389" s="10" t="s">
        <v>14</v>
      </c>
    </row>
    <row r="390" spans="1:11" x14ac:dyDescent="0.3">
      <c r="A390" s="10">
        <v>387</v>
      </c>
      <c r="B390" s="10" t="s">
        <v>3229</v>
      </c>
      <c r="C390" s="10" t="s">
        <v>4751</v>
      </c>
      <c r="D390" s="10" t="s">
        <v>3912</v>
      </c>
      <c r="E390" s="10" t="s">
        <v>383</v>
      </c>
      <c r="F390" s="10" t="s">
        <v>4752</v>
      </c>
      <c r="G390" s="10" t="str">
        <f>"38"</f>
        <v>38</v>
      </c>
      <c r="H390" s="10" t="str">
        <f>"30171"</f>
        <v>30171</v>
      </c>
      <c r="I390" s="10" t="s">
        <v>13</v>
      </c>
      <c r="J390" s="10" t="s">
        <v>926</v>
      </c>
      <c r="K390" s="10" t="s">
        <v>14</v>
      </c>
    </row>
    <row r="391" spans="1:11" x14ac:dyDescent="0.3">
      <c r="A391" s="10">
        <v>388</v>
      </c>
      <c r="B391" s="10" t="s">
        <v>4753</v>
      </c>
      <c r="C391" s="10" t="s">
        <v>4754</v>
      </c>
      <c r="D391" s="10" t="s">
        <v>3912</v>
      </c>
      <c r="E391" s="10" t="s">
        <v>383</v>
      </c>
      <c r="F391" s="10" t="s">
        <v>4540</v>
      </c>
      <c r="G391" s="10" t="str">
        <f>"466/A"</f>
        <v>466/A</v>
      </c>
      <c r="H391" s="10" t="str">
        <f>"30135"</f>
        <v>30135</v>
      </c>
      <c r="I391" s="10" t="s">
        <v>13</v>
      </c>
      <c r="J391" s="10" t="s">
        <v>926</v>
      </c>
      <c r="K391" s="10" t="s">
        <v>14</v>
      </c>
    </row>
    <row r="392" spans="1:11" x14ac:dyDescent="0.3">
      <c r="A392" s="20">
        <v>389</v>
      </c>
      <c r="B392" s="20" t="s">
        <v>4755</v>
      </c>
      <c r="C392" s="20" t="s">
        <v>4024</v>
      </c>
      <c r="D392" s="20" t="s">
        <v>3912</v>
      </c>
      <c r="E392" s="20" t="s">
        <v>383</v>
      </c>
      <c r="F392" s="20" t="s">
        <v>4566</v>
      </c>
      <c r="G392" s="20" t="str">
        <f>"31"</f>
        <v>31</v>
      </c>
      <c r="H392" s="20" t="str">
        <f>"30172"</f>
        <v>30172</v>
      </c>
      <c r="I392" s="20" t="s">
        <v>13</v>
      </c>
      <c r="J392" s="20" t="s">
        <v>928</v>
      </c>
      <c r="K392" s="20" t="s">
        <v>14</v>
      </c>
    </row>
    <row r="393" spans="1:11" x14ac:dyDescent="0.3">
      <c r="A393" s="10">
        <v>390</v>
      </c>
      <c r="B393" s="10" t="s">
        <v>4756</v>
      </c>
      <c r="C393" s="10" t="s">
        <v>4757</v>
      </c>
      <c r="D393" s="10" t="s">
        <v>3912</v>
      </c>
      <c r="E393" s="10" t="s">
        <v>383</v>
      </c>
      <c r="F393" s="10" t="s">
        <v>4758</v>
      </c>
      <c r="G393" s="10" t="str">
        <f>"4986"</f>
        <v>4986</v>
      </c>
      <c r="H393" s="10" t="str">
        <f>"30124"</f>
        <v>30124</v>
      </c>
      <c r="I393" s="10" t="s">
        <v>13</v>
      </c>
      <c r="J393" s="10" t="s">
        <v>926</v>
      </c>
      <c r="K393" s="10" t="s">
        <v>14</v>
      </c>
    </row>
    <row r="394" spans="1:11" x14ac:dyDescent="0.3">
      <c r="A394" s="7">
        <v>391</v>
      </c>
      <c r="B394" s="7" t="s">
        <v>4759</v>
      </c>
      <c r="C394" s="7" t="s">
        <v>4760</v>
      </c>
      <c r="D394" s="7" t="s">
        <v>3912</v>
      </c>
      <c r="E394" s="7" t="s">
        <v>383</v>
      </c>
      <c r="F394" s="7" t="s">
        <v>4761</v>
      </c>
      <c r="G394" s="7" t="str">
        <f>"61"</f>
        <v>61</v>
      </c>
      <c r="H394" s="7" t="str">
        <f>"30126"</f>
        <v>30126</v>
      </c>
      <c r="I394" s="7" t="s">
        <v>13</v>
      </c>
      <c r="J394" s="7" t="s">
        <v>925</v>
      </c>
      <c r="K394" s="7" t="s">
        <v>1652</v>
      </c>
    </row>
    <row r="395" spans="1:11" x14ac:dyDescent="0.3">
      <c r="A395" s="10">
        <v>392</v>
      </c>
      <c r="B395" s="10" t="s">
        <v>4762</v>
      </c>
      <c r="C395" s="10" t="s">
        <v>4763</v>
      </c>
      <c r="D395" s="10" t="s">
        <v>3912</v>
      </c>
      <c r="E395" s="10" t="s">
        <v>383</v>
      </c>
      <c r="F395" s="10" t="s">
        <v>48</v>
      </c>
      <c r="G395" s="10" t="str">
        <f>"65"</f>
        <v>65</v>
      </c>
      <c r="H395" s="10" t="str">
        <f>"30172"</f>
        <v>30172</v>
      </c>
      <c r="I395" s="10" t="s">
        <v>13</v>
      </c>
      <c r="J395" s="10" t="s">
        <v>926</v>
      </c>
      <c r="K395" s="10" t="s">
        <v>165</v>
      </c>
    </row>
    <row r="396" spans="1:11" x14ac:dyDescent="0.3">
      <c r="A396" s="10">
        <v>393</v>
      </c>
      <c r="B396" s="10" t="s">
        <v>4764</v>
      </c>
      <c r="C396" s="10" t="s">
        <v>4765</v>
      </c>
      <c r="D396" s="10" t="s">
        <v>3912</v>
      </c>
      <c r="E396" s="10" t="s">
        <v>383</v>
      </c>
      <c r="F396" s="10" t="s">
        <v>4571</v>
      </c>
      <c r="G396" s="10" t="str">
        <f>"22"</f>
        <v>22</v>
      </c>
      <c r="H396" s="10" t="str">
        <f>"30174"</f>
        <v>30174</v>
      </c>
      <c r="I396" s="10" t="s">
        <v>13</v>
      </c>
      <c r="J396" s="10" t="s">
        <v>926</v>
      </c>
      <c r="K396" s="10" t="s">
        <v>14</v>
      </c>
    </row>
    <row r="397" spans="1:11" x14ac:dyDescent="0.3">
      <c r="A397" s="8">
        <v>394</v>
      </c>
      <c r="B397" s="8" t="s">
        <v>4766</v>
      </c>
      <c r="C397" s="8" t="s">
        <v>4767</v>
      </c>
      <c r="D397" s="8" t="s">
        <v>3912</v>
      </c>
      <c r="E397" s="8" t="s">
        <v>383</v>
      </c>
      <c r="F397" s="8" t="s">
        <v>4631</v>
      </c>
      <c r="G397" s="8" t="str">
        <f>"82"</f>
        <v>82</v>
      </c>
      <c r="H397" s="8" t="str">
        <f>"30174"</f>
        <v>30174</v>
      </c>
      <c r="I397" s="8" t="s">
        <v>13</v>
      </c>
      <c r="J397" s="8" t="s">
        <v>927</v>
      </c>
      <c r="K397" s="8" t="s">
        <v>115</v>
      </c>
    </row>
    <row r="398" spans="1:11" x14ac:dyDescent="0.3">
      <c r="A398" s="7">
        <v>395</v>
      </c>
      <c r="B398" s="7" t="s">
        <v>4768</v>
      </c>
      <c r="C398" s="7" t="s">
        <v>4769</v>
      </c>
      <c r="D398" s="7" t="s">
        <v>3912</v>
      </c>
      <c r="E398" s="7" t="s">
        <v>383</v>
      </c>
      <c r="F398" s="7" t="s">
        <v>4770</v>
      </c>
      <c r="G398" s="7" t="str">
        <f>"54"</f>
        <v>54</v>
      </c>
      <c r="H398" s="7" t="str">
        <f>"30173"</f>
        <v>30173</v>
      </c>
      <c r="I398" s="7" t="s">
        <v>13</v>
      </c>
      <c r="J398" s="7" t="s">
        <v>925</v>
      </c>
      <c r="K398" s="7" t="s">
        <v>58</v>
      </c>
    </row>
    <row r="399" spans="1:11" x14ac:dyDescent="0.3">
      <c r="A399" s="20">
        <v>396</v>
      </c>
      <c r="B399" s="20" t="s">
        <v>1356</v>
      </c>
      <c r="C399" s="20" t="s">
        <v>551</v>
      </c>
      <c r="D399" s="20" t="s">
        <v>3912</v>
      </c>
      <c r="E399" s="20" t="s">
        <v>383</v>
      </c>
      <c r="F399" s="20" t="s">
        <v>4477</v>
      </c>
      <c r="G399" s="20" t="str">
        <f>"20"</f>
        <v>20</v>
      </c>
      <c r="H399" s="20" t="str">
        <f>"30175"</f>
        <v>30175</v>
      </c>
      <c r="I399" s="20" t="s">
        <v>13</v>
      </c>
      <c r="J399" s="20" t="s">
        <v>928</v>
      </c>
      <c r="K399" s="20" t="s">
        <v>14</v>
      </c>
    </row>
    <row r="400" spans="1:11" x14ac:dyDescent="0.3">
      <c r="A400" s="20">
        <v>397</v>
      </c>
      <c r="B400" s="20" t="s">
        <v>1356</v>
      </c>
      <c r="C400" s="20" t="s">
        <v>551</v>
      </c>
      <c r="D400" s="20" t="s">
        <v>3912</v>
      </c>
      <c r="E400" s="20" t="s">
        <v>383</v>
      </c>
      <c r="F400" s="20" t="s">
        <v>4571</v>
      </c>
      <c r="G400" s="20" t="str">
        <f>"SNC"</f>
        <v>SNC</v>
      </c>
      <c r="H400" s="20" t="str">
        <f>"30174"</f>
        <v>30174</v>
      </c>
      <c r="I400" s="20" t="s">
        <v>13</v>
      </c>
      <c r="J400" s="20" t="s">
        <v>928</v>
      </c>
      <c r="K400" s="20" t="s">
        <v>14</v>
      </c>
    </row>
    <row r="401" spans="1:11" x14ac:dyDescent="0.3">
      <c r="A401" s="10">
        <v>398</v>
      </c>
      <c r="B401" s="10" t="s">
        <v>4771</v>
      </c>
      <c r="C401" s="10" t="s">
        <v>4772</v>
      </c>
      <c r="D401" s="10" t="s">
        <v>3912</v>
      </c>
      <c r="E401" s="10" t="s">
        <v>383</v>
      </c>
      <c r="F401" s="10" t="s">
        <v>4773</v>
      </c>
      <c r="G401" s="10" t="str">
        <f>"1192"</f>
        <v>1192</v>
      </c>
      <c r="H401" s="10" t="str">
        <f>"30124"</f>
        <v>30124</v>
      </c>
      <c r="I401" s="10" t="s">
        <v>13</v>
      </c>
      <c r="J401" s="10" t="s">
        <v>926</v>
      </c>
      <c r="K401" s="10" t="s">
        <v>14</v>
      </c>
    </row>
    <row r="402" spans="1:11" x14ac:dyDescent="0.3">
      <c r="A402" s="7">
        <v>399</v>
      </c>
      <c r="B402" s="7" t="s">
        <v>4774</v>
      </c>
      <c r="C402" s="7" t="s">
        <v>4775</v>
      </c>
      <c r="D402" s="7" t="s">
        <v>3912</v>
      </c>
      <c r="E402" s="7" t="s">
        <v>383</v>
      </c>
      <c r="F402" s="7" t="s">
        <v>4544</v>
      </c>
      <c r="G402" s="7" t="str">
        <f>"2958\2969"</f>
        <v>2958\2969</v>
      </c>
      <c r="H402" s="7" t="str">
        <f>"30124"</f>
        <v>30124</v>
      </c>
      <c r="I402" s="7" t="s">
        <v>13</v>
      </c>
      <c r="J402" s="7" t="s">
        <v>925</v>
      </c>
      <c r="K402" s="7" t="s">
        <v>43</v>
      </c>
    </row>
    <row r="403" spans="1:11" x14ac:dyDescent="0.3">
      <c r="A403" s="7">
        <v>400</v>
      </c>
      <c r="B403" s="7" t="s">
        <v>4776</v>
      </c>
      <c r="C403" s="7" t="s">
        <v>4777</v>
      </c>
      <c r="D403" s="7" t="s">
        <v>3912</v>
      </c>
      <c r="E403" s="7" t="s">
        <v>383</v>
      </c>
      <c r="F403" s="7" t="s">
        <v>2578</v>
      </c>
      <c r="G403" s="7" t="str">
        <f>"15/A"</f>
        <v>15/A</v>
      </c>
      <c r="H403" s="7" t="str">
        <f>"30174"</f>
        <v>30174</v>
      </c>
      <c r="I403" s="7" t="s">
        <v>13</v>
      </c>
      <c r="J403" s="7" t="s">
        <v>925</v>
      </c>
      <c r="K403" s="7" t="s">
        <v>14</v>
      </c>
    </row>
    <row r="404" spans="1:11" x14ac:dyDescent="0.3">
      <c r="A404" s="10">
        <v>401</v>
      </c>
      <c r="B404" s="10" t="s">
        <v>4778</v>
      </c>
      <c r="C404" s="10" t="s">
        <v>4779</v>
      </c>
      <c r="D404" s="10" t="s">
        <v>3912</v>
      </c>
      <c r="E404" s="10" t="s">
        <v>383</v>
      </c>
      <c r="F404" s="10" t="s">
        <v>4780</v>
      </c>
      <c r="G404" s="10" t="str">
        <f>"285"</f>
        <v>285</v>
      </c>
      <c r="H404" s="10" t="str">
        <f>"30135"</f>
        <v>30135</v>
      </c>
      <c r="I404" s="10" t="s">
        <v>13</v>
      </c>
      <c r="J404" s="10" t="s">
        <v>926</v>
      </c>
      <c r="K404" s="10" t="s">
        <v>14</v>
      </c>
    </row>
    <row r="405" spans="1:11" x14ac:dyDescent="0.3">
      <c r="A405" s="7">
        <v>402</v>
      </c>
      <c r="B405" s="7" t="s">
        <v>4781</v>
      </c>
      <c r="C405" s="7" t="s">
        <v>4782</v>
      </c>
      <c r="D405" s="7" t="s">
        <v>3912</v>
      </c>
      <c r="E405" s="7" t="s">
        <v>383</v>
      </c>
      <c r="F405" s="7" t="s">
        <v>4507</v>
      </c>
      <c r="G405" s="7" t="str">
        <f>"5864"</f>
        <v>5864</v>
      </c>
      <c r="H405" s="7" t="str">
        <f>"30121"</f>
        <v>30121</v>
      </c>
      <c r="I405" s="7" t="s">
        <v>13</v>
      </c>
      <c r="J405" s="7" t="s">
        <v>925</v>
      </c>
      <c r="K405" s="7" t="s">
        <v>14</v>
      </c>
    </row>
    <row r="406" spans="1:11" x14ac:dyDescent="0.3">
      <c r="A406" s="7">
        <v>403</v>
      </c>
      <c r="B406" s="7" t="s">
        <v>4783</v>
      </c>
      <c r="C406" s="7" t="s">
        <v>4784</v>
      </c>
      <c r="D406" s="7" t="s">
        <v>3912</v>
      </c>
      <c r="E406" s="7" t="s">
        <v>383</v>
      </c>
      <c r="F406" s="7" t="s">
        <v>1803</v>
      </c>
      <c r="G406" s="7" t="str">
        <f>"36"</f>
        <v>36</v>
      </c>
      <c r="H406" s="7" t="str">
        <f>"30171"</f>
        <v>30171</v>
      </c>
      <c r="I406" s="7" t="s">
        <v>13</v>
      </c>
      <c r="J406" s="7" t="s">
        <v>925</v>
      </c>
      <c r="K406" s="7" t="s">
        <v>345</v>
      </c>
    </row>
    <row r="407" spans="1:11" x14ac:dyDescent="0.3">
      <c r="A407" s="7">
        <v>404</v>
      </c>
      <c r="B407" s="7" t="s">
        <v>4785</v>
      </c>
      <c r="C407" s="7" t="s">
        <v>4786</v>
      </c>
      <c r="D407" s="7" t="s">
        <v>3912</v>
      </c>
      <c r="E407" s="7" t="s">
        <v>383</v>
      </c>
      <c r="F407" s="7" t="s">
        <v>2130</v>
      </c>
      <c r="G407" s="7" t="str">
        <f>"214"</f>
        <v>214</v>
      </c>
      <c r="H407" s="7" t="str">
        <f>"30171"</f>
        <v>30171</v>
      </c>
      <c r="I407" s="7" t="s">
        <v>13</v>
      </c>
      <c r="J407" s="7" t="s">
        <v>925</v>
      </c>
      <c r="K407" s="7" t="s">
        <v>224</v>
      </c>
    </row>
    <row r="408" spans="1:11" x14ac:dyDescent="0.3">
      <c r="A408" s="7">
        <v>405</v>
      </c>
      <c r="B408" s="7" t="s">
        <v>4787</v>
      </c>
      <c r="C408" s="7" t="s">
        <v>4788</v>
      </c>
      <c r="D408" s="7" t="s">
        <v>3912</v>
      </c>
      <c r="E408" s="7" t="s">
        <v>383</v>
      </c>
      <c r="F408" s="7" t="s">
        <v>4139</v>
      </c>
      <c r="G408" s="7" t="str">
        <f>"136"</f>
        <v>136</v>
      </c>
      <c r="H408" s="7" t="str">
        <f>"30173"</f>
        <v>30173</v>
      </c>
      <c r="I408" s="7" t="s">
        <v>13</v>
      </c>
      <c r="J408" s="7" t="s">
        <v>925</v>
      </c>
      <c r="K408" s="7" t="s">
        <v>43</v>
      </c>
    </row>
    <row r="409" spans="1:11" x14ac:dyDescent="0.3">
      <c r="A409" s="7">
        <v>406</v>
      </c>
      <c r="B409" s="7" t="s">
        <v>4789</v>
      </c>
      <c r="C409" s="7" t="s">
        <v>4790</v>
      </c>
      <c r="D409" s="7" t="s">
        <v>3912</v>
      </c>
      <c r="E409" s="7" t="s">
        <v>383</v>
      </c>
      <c r="F409" s="7" t="s">
        <v>2578</v>
      </c>
      <c r="G409" s="7" t="str">
        <f>"53/55"</f>
        <v>53/55</v>
      </c>
      <c r="H409" s="7" t="str">
        <f>"30174"</f>
        <v>30174</v>
      </c>
      <c r="I409" s="7" t="s">
        <v>13</v>
      </c>
      <c r="J409" s="7" t="s">
        <v>925</v>
      </c>
      <c r="K409" s="7" t="s">
        <v>1883</v>
      </c>
    </row>
    <row r="410" spans="1:11" x14ac:dyDescent="0.3">
      <c r="A410" s="8">
        <v>407</v>
      </c>
      <c r="B410" s="8" t="s">
        <v>4791</v>
      </c>
      <c r="C410" s="8" t="s">
        <v>119</v>
      </c>
      <c r="D410" s="8" t="s">
        <v>3912</v>
      </c>
      <c r="E410" s="8" t="s">
        <v>383</v>
      </c>
      <c r="F410" s="8" t="s">
        <v>4792</v>
      </c>
      <c r="G410" s="8" t="str">
        <f>"1"</f>
        <v>1</v>
      </c>
      <c r="H410" s="8" t="str">
        <f>"30126"</f>
        <v>30126</v>
      </c>
      <c r="I410" s="8" t="s">
        <v>13</v>
      </c>
      <c r="J410" s="8" t="s">
        <v>927</v>
      </c>
      <c r="K410" s="8" t="s">
        <v>14</v>
      </c>
    </row>
    <row r="411" spans="1:11" x14ac:dyDescent="0.3">
      <c r="A411" s="8">
        <v>408</v>
      </c>
      <c r="B411" s="8" t="s">
        <v>4791</v>
      </c>
      <c r="C411" s="8" t="s">
        <v>119</v>
      </c>
      <c r="D411" s="8" t="s">
        <v>3912</v>
      </c>
      <c r="E411" s="8" t="s">
        <v>383</v>
      </c>
      <c r="F411" s="8" t="s">
        <v>4507</v>
      </c>
      <c r="G411" s="8" t="str">
        <f>"3027M"</f>
        <v>3027M</v>
      </c>
      <c r="H411" s="8" t="str">
        <f>"30121"</f>
        <v>30121</v>
      </c>
      <c r="I411" s="8" t="s">
        <v>13</v>
      </c>
      <c r="J411" s="8" t="s">
        <v>927</v>
      </c>
      <c r="K411" s="8" t="s">
        <v>14</v>
      </c>
    </row>
    <row r="412" spans="1:11" x14ac:dyDescent="0.3">
      <c r="A412" s="8">
        <v>409</v>
      </c>
      <c r="B412" s="8" t="s">
        <v>4793</v>
      </c>
      <c r="C412" s="8" t="s">
        <v>307</v>
      </c>
      <c r="D412" s="8" t="s">
        <v>3912</v>
      </c>
      <c r="E412" s="8" t="s">
        <v>383</v>
      </c>
      <c r="F412" s="8" t="s">
        <v>4544</v>
      </c>
      <c r="G412" s="8" t="str">
        <f>"3988"</f>
        <v>3988</v>
      </c>
      <c r="H412" s="8" t="str">
        <f>"30124"</f>
        <v>30124</v>
      </c>
      <c r="I412" s="8" t="s">
        <v>13</v>
      </c>
      <c r="J412" s="8" t="s">
        <v>927</v>
      </c>
      <c r="K412" s="8" t="s">
        <v>66</v>
      </c>
    </row>
    <row r="413" spans="1:11" x14ac:dyDescent="0.3">
      <c r="A413" s="10">
        <v>410</v>
      </c>
      <c r="B413" s="10" t="s">
        <v>4794</v>
      </c>
      <c r="C413" s="10" t="s">
        <v>4795</v>
      </c>
      <c r="D413" s="10" t="s">
        <v>3912</v>
      </c>
      <c r="E413" s="10" t="s">
        <v>383</v>
      </c>
      <c r="F413" s="10" t="s">
        <v>4796</v>
      </c>
      <c r="G413" s="10" t="str">
        <f>"1"</f>
        <v>1</v>
      </c>
      <c r="H413" s="10" t="str">
        <f>"30175"</f>
        <v>30175</v>
      </c>
      <c r="I413" s="10" t="s">
        <v>13</v>
      </c>
      <c r="J413" s="10" t="s">
        <v>926</v>
      </c>
      <c r="K413" s="10" t="s">
        <v>43</v>
      </c>
    </row>
    <row r="414" spans="1:11" x14ac:dyDescent="0.3">
      <c r="A414" s="8">
        <v>411</v>
      </c>
      <c r="B414" s="8" t="s">
        <v>1381</v>
      </c>
      <c r="C414" s="8" t="s">
        <v>580</v>
      </c>
      <c r="D414" s="8" t="s">
        <v>3912</v>
      </c>
      <c r="E414" s="8" t="s">
        <v>383</v>
      </c>
      <c r="F414" s="8" t="s">
        <v>4555</v>
      </c>
      <c r="G414" s="8" t="str">
        <f>"65"</f>
        <v>65</v>
      </c>
      <c r="H414" s="8" t="str">
        <f>"30174"</f>
        <v>30174</v>
      </c>
      <c r="I414" s="8" t="s">
        <v>13</v>
      </c>
      <c r="J414" s="8" t="s">
        <v>927</v>
      </c>
      <c r="K414" s="8" t="s">
        <v>350</v>
      </c>
    </row>
    <row r="415" spans="1:11" x14ac:dyDescent="0.3">
      <c r="A415" s="7">
        <v>412</v>
      </c>
      <c r="B415" s="7" t="s">
        <v>4797</v>
      </c>
      <c r="C415" s="7" t="s">
        <v>3753</v>
      </c>
      <c r="D415" s="7" t="s">
        <v>3912</v>
      </c>
      <c r="E415" s="7" t="s">
        <v>383</v>
      </c>
      <c r="F415" s="7" t="s">
        <v>4798</v>
      </c>
      <c r="G415" s="7" t="str">
        <f>"SNC"</f>
        <v>SNC</v>
      </c>
      <c r="H415" s="7" t="str">
        <f>"30175"</f>
        <v>30175</v>
      </c>
      <c r="I415" s="7" t="s">
        <v>13</v>
      </c>
      <c r="J415" s="7" t="s">
        <v>925</v>
      </c>
      <c r="K415" s="7" t="s">
        <v>14</v>
      </c>
    </row>
    <row r="416" spans="1:11" x14ac:dyDescent="0.3">
      <c r="A416" s="7">
        <v>413</v>
      </c>
      <c r="B416" s="7" t="s">
        <v>4799</v>
      </c>
      <c r="C416" s="7" t="s">
        <v>3251</v>
      </c>
      <c r="D416" s="7" t="s">
        <v>3912</v>
      </c>
      <c r="E416" s="7" t="s">
        <v>383</v>
      </c>
      <c r="F416" s="7" t="s">
        <v>4544</v>
      </c>
      <c r="G416" s="7" t="str">
        <f>"3989"</f>
        <v>3989</v>
      </c>
      <c r="H416" s="7" t="str">
        <f>"30124"</f>
        <v>30124</v>
      </c>
      <c r="I416" s="7" t="s">
        <v>13</v>
      </c>
      <c r="J416" s="7" t="s">
        <v>925</v>
      </c>
      <c r="K416" s="7" t="s">
        <v>43</v>
      </c>
    </row>
    <row r="417" spans="1:11" x14ac:dyDescent="0.3">
      <c r="A417" s="10">
        <v>414</v>
      </c>
      <c r="B417" s="10" t="s">
        <v>4800</v>
      </c>
      <c r="C417" s="10" t="s">
        <v>4801</v>
      </c>
      <c r="D417" s="10" t="s">
        <v>3912</v>
      </c>
      <c r="E417" s="10" t="s">
        <v>383</v>
      </c>
      <c r="F417" s="10" t="s">
        <v>4802</v>
      </c>
      <c r="G417" s="10" t="str">
        <f>"6"</f>
        <v>6</v>
      </c>
      <c r="H417" s="10" t="str">
        <f>"30175"</f>
        <v>30175</v>
      </c>
      <c r="I417" s="10" t="s">
        <v>13</v>
      </c>
      <c r="J417" s="10" t="s">
        <v>926</v>
      </c>
      <c r="K417" s="10" t="s">
        <v>20</v>
      </c>
    </row>
    <row r="418" spans="1:11" x14ac:dyDescent="0.3">
      <c r="A418" s="10">
        <v>415</v>
      </c>
      <c r="B418" s="10" t="s">
        <v>4800</v>
      </c>
      <c r="C418" s="10" t="s">
        <v>4803</v>
      </c>
      <c r="D418" s="10" t="s">
        <v>3912</v>
      </c>
      <c r="E418" s="10" t="s">
        <v>383</v>
      </c>
      <c r="F418" s="10" t="s">
        <v>4802</v>
      </c>
      <c r="G418" s="10" t="str">
        <f>"36"</f>
        <v>36</v>
      </c>
      <c r="H418" s="10" t="str">
        <f>"30175"</f>
        <v>30175</v>
      </c>
      <c r="I418" s="10" t="s">
        <v>13</v>
      </c>
      <c r="J418" s="10" t="s">
        <v>926</v>
      </c>
      <c r="K418" s="10" t="s">
        <v>14</v>
      </c>
    </row>
    <row r="419" spans="1:11" x14ac:dyDescent="0.3">
      <c r="A419" s="7">
        <v>416</v>
      </c>
      <c r="B419" s="7" t="s">
        <v>4804</v>
      </c>
      <c r="C419" s="7" t="s">
        <v>4805</v>
      </c>
      <c r="D419" s="7" t="s">
        <v>3912</v>
      </c>
      <c r="E419" s="7" t="s">
        <v>383</v>
      </c>
      <c r="F419" s="7" t="s">
        <v>4806</v>
      </c>
      <c r="G419" s="7" t="str">
        <f>"21"</f>
        <v>21</v>
      </c>
      <c r="H419" s="7" t="str">
        <f>"30174"</f>
        <v>30174</v>
      </c>
      <c r="I419" s="7" t="s">
        <v>13</v>
      </c>
      <c r="J419" s="7" t="s">
        <v>925</v>
      </c>
      <c r="K419" s="7" t="s">
        <v>14</v>
      </c>
    </row>
    <row r="420" spans="1:11" x14ac:dyDescent="0.3">
      <c r="A420" s="8">
        <v>417</v>
      </c>
      <c r="B420" s="8" t="s">
        <v>4807</v>
      </c>
      <c r="C420" s="8" t="s">
        <v>4808</v>
      </c>
      <c r="D420" s="8" t="s">
        <v>3912</v>
      </c>
      <c r="E420" s="8" t="s">
        <v>383</v>
      </c>
      <c r="F420" s="8" t="s">
        <v>4809</v>
      </c>
      <c r="G420" s="8" t="str">
        <f>"256"</f>
        <v>256</v>
      </c>
      <c r="H420" s="8" t="str">
        <f>"30173"</f>
        <v>30173</v>
      </c>
      <c r="I420" s="8" t="s">
        <v>13</v>
      </c>
      <c r="J420" s="8" t="s">
        <v>927</v>
      </c>
      <c r="K420" s="8" t="s">
        <v>14</v>
      </c>
    </row>
    <row r="421" spans="1:11" x14ac:dyDescent="0.3">
      <c r="A421" s="7">
        <v>418</v>
      </c>
      <c r="B421" s="7" t="s">
        <v>4810</v>
      </c>
      <c r="C421" s="7" t="s">
        <v>4811</v>
      </c>
      <c r="D421" s="7" t="s">
        <v>3912</v>
      </c>
      <c r="E421" s="7" t="s">
        <v>383</v>
      </c>
      <c r="F421" s="7" t="s">
        <v>4812</v>
      </c>
      <c r="G421" s="7" t="str">
        <f>"197/E"</f>
        <v>197/E</v>
      </c>
      <c r="H421" s="7" t="str">
        <f>"30135"</f>
        <v>30135</v>
      </c>
      <c r="I421" s="7" t="s">
        <v>13</v>
      </c>
      <c r="J421" s="7" t="s">
        <v>925</v>
      </c>
      <c r="K421" s="7" t="s">
        <v>14</v>
      </c>
    </row>
    <row r="422" spans="1:11" x14ac:dyDescent="0.3">
      <c r="A422" s="8">
        <v>419</v>
      </c>
      <c r="B422" s="8" t="s">
        <v>4813</v>
      </c>
      <c r="C422" s="8" t="s">
        <v>4814</v>
      </c>
      <c r="D422" s="8" t="s">
        <v>3912</v>
      </c>
      <c r="E422" s="8" t="s">
        <v>383</v>
      </c>
      <c r="F422" s="8" t="s">
        <v>4809</v>
      </c>
      <c r="G422" s="8" t="str">
        <f>"140/D"</f>
        <v>140/D</v>
      </c>
      <c r="H422" s="8" t="str">
        <f>"30173"</f>
        <v>30173</v>
      </c>
      <c r="I422" s="8" t="s">
        <v>13</v>
      </c>
      <c r="J422" s="8" t="s">
        <v>927</v>
      </c>
      <c r="K422" s="8" t="s">
        <v>20</v>
      </c>
    </row>
    <row r="423" spans="1:11" x14ac:dyDescent="0.3">
      <c r="A423" s="7">
        <v>420</v>
      </c>
      <c r="B423" s="7" t="s">
        <v>4815</v>
      </c>
      <c r="C423" s="7" t="s">
        <v>4816</v>
      </c>
      <c r="D423" s="7" t="s">
        <v>3912</v>
      </c>
      <c r="E423" s="7" t="s">
        <v>383</v>
      </c>
      <c r="F423" s="7" t="s">
        <v>4817</v>
      </c>
      <c r="G423" s="7" t="str">
        <f>"9"</f>
        <v>9</v>
      </c>
      <c r="H423" s="7" t="str">
        <f>"30126"</f>
        <v>30126</v>
      </c>
      <c r="I423" s="7" t="s">
        <v>13</v>
      </c>
      <c r="J423" s="7" t="s">
        <v>925</v>
      </c>
      <c r="K423" s="7" t="s">
        <v>2924</v>
      </c>
    </row>
    <row r="424" spans="1:11" x14ac:dyDescent="0.3">
      <c r="A424" s="7">
        <v>421</v>
      </c>
      <c r="B424" s="7" t="s">
        <v>4818</v>
      </c>
      <c r="C424" s="7" t="s">
        <v>4819</v>
      </c>
      <c r="D424" s="7" t="s">
        <v>3912</v>
      </c>
      <c r="E424" s="7" t="s">
        <v>383</v>
      </c>
      <c r="F424" s="7" t="s">
        <v>4571</v>
      </c>
      <c r="G424" s="7" t="str">
        <f>"7"</f>
        <v>7</v>
      </c>
      <c r="H424" s="7" t="str">
        <f>"30174"</f>
        <v>30174</v>
      </c>
      <c r="I424" s="7" t="s">
        <v>13</v>
      </c>
      <c r="J424" s="7" t="s">
        <v>925</v>
      </c>
      <c r="K424" s="7" t="s">
        <v>27</v>
      </c>
    </row>
    <row r="425" spans="1:11" x14ac:dyDescent="0.3">
      <c r="A425" s="10">
        <v>422</v>
      </c>
      <c r="B425" s="10" t="s">
        <v>4820</v>
      </c>
      <c r="C425" s="10" t="s">
        <v>4801</v>
      </c>
      <c r="D425" s="10" t="s">
        <v>3912</v>
      </c>
      <c r="E425" s="10" t="s">
        <v>383</v>
      </c>
      <c r="F425" s="10" t="s">
        <v>4571</v>
      </c>
      <c r="G425" s="10" t="str">
        <f>"113"</f>
        <v>113</v>
      </c>
      <c r="H425" s="10" t="str">
        <f>"30174"</f>
        <v>30174</v>
      </c>
      <c r="I425" s="10" t="s">
        <v>13</v>
      </c>
      <c r="J425" s="10" t="s">
        <v>926</v>
      </c>
      <c r="K425" s="10" t="s">
        <v>66</v>
      </c>
    </row>
    <row r="426" spans="1:11" x14ac:dyDescent="0.3">
      <c r="A426" s="20">
        <v>423</v>
      </c>
      <c r="B426" s="20" t="s">
        <v>4821</v>
      </c>
      <c r="C426" s="20" t="s">
        <v>4822</v>
      </c>
      <c r="D426" s="20" t="s">
        <v>3912</v>
      </c>
      <c r="E426" s="20" t="s">
        <v>383</v>
      </c>
      <c r="F426" s="20" t="s">
        <v>4544</v>
      </c>
      <c r="G426" s="20" t="str">
        <f>"1099/A"</f>
        <v>1099/A</v>
      </c>
      <c r="H426" s="20" t="str">
        <f>"30124"</f>
        <v>30124</v>
      </c>
      <c r="I426" s="20" t="s">
        <v>13</v>
      </c>
      <c r="J426" s="20" t="s">
        <v>928</v>
      </c>
      <c r="K426" s="20" t="s">
        <v>43</v>
      </c>
    </row>
    <row r="427" spans="1:11" x14ac:dyDescent="0.3">
      <c r="A427" s="10">
        <v>424</v>
      </c>
      <c r="B427" s="10" t="s">
        <v>4823</v>
      </c>
      <c r="C427" s="10" t="s">
        <v>4482</v>
      </c>
      <c r="D427" s="10" t="s">
        <v>3912</v>
      </c>
      <c r="E427" s="10" t="s">
        <v>383</v>
      </c>
      <c r="F427" s="10" t="s">
        <v>4824</v>
      </c>
      <c r="G427" s="10" t="str">
        <f>"2/B"</f>
        <v>2/B</v>
      </c>
      <c r="H427" s="10" t="str">
        <f>"30174"</f>
        <v>30174</v>
      </c>
      <c r="I427" s="10" t="s">
        <v>13</v>
      </c>
      <c r="J427" s="10" t="s">
        <v>926</v>
      </c>
      <c r="K427" s="10" t="s">
        <v>43</v>
      </c>
    </row>
    <row r="428" spans="1:11" x14ac:dyDescent="0.3">
      <c r="A428" s="3">
        <v>425</v>
      </c>
      <c r="B428" s="3" t="s">
        <v>4825</v>
      </c>
      <c r="C428" s="3" t="s">
        <v>4825</v>
      </c>
      <c r="D428" s="3" t="s">
        <v>3912</v>
      </c>
      <c r="E428" s="3" t="s">
        <v>383</v>
      </c>
      <c r="F428" s="3" t="s">
        <v>1967</v>
      </c>
      <c r="G428" s="3" t="str">
        <f>"102"</f>
        <v>102</v>
      </c>
      <c r="H428" s="3" t="str">
        <f>"30172"</f>
        <v>30172</v>
      </c>
      <c r="I428" s="3" t="s">
        <v>13</v>
      </c>
      <c r="J428" s="3" t="s">
        <v>1771</v>
      </c>
      <c r="K428" s="3" t="s">
        <v>14</v>
      </c>
    </row>
    <row r="429" spans="1:11" x14ac:dyDescent="0.3">
      <c r="A429" s="10">
        <v>426</v>
      </c>
      <c r="B429" s="10" t="s">
        <v>4826</v>
      </c>
      <c r="C429" s="10" t="s">
        <v>4827</v>
      </c>
      <c r="D429" s="10" t="s">
        <v>3912</v>
      </c>
      <c r="E429" s="10" t="s">
        <v>383</v>
      </c>
      <c r="F429" s="10" t="s">
        <v>4828</v>
      </c>
      <c r="G429" s="10" t="str">
        <f>"61"</f>
        <v>61</v>
      </c>
      <c r="H429" s="10" t="str">
        <f>"30171"</f>
        <v>30171</v>
      </c>
      <c r="I429" s="10" t="s">
        <v>13</v>
      </c>
      <c r="J429" s="10" t="s">
        <v>926</v>
      </c>
      <c r="K429" s="10" t="s">
        <v>224</v>
      </c>
    </row>
    <row r="430" spans="1:11" x14ac:dyDescent="0.3">
      <c r="A430" s="7">
        <v>427</v>
      </c>
      <c r="B430" s="7" t="s">
        <v>4829</v>
      </c>
      <c r="C430" s="7" t="s">
        <v>4830</v>
      </c>
      <c r="D430" s="7" t="s">
        <v>3912</v>
      </c>
      <c r="E430" s="7" t="s">
        <v>383</v>
      </c>
      <c r="F430" s="7" t="s">
        <v>4809</v>
      </c>
      <c r="G430" s="7" t="str">
        <f>"66"</f>
        <v>66</v>
      </c>
      <c r="H430" s="7" t="str">
        <f>"30173"</f>
        <v>30173</v>
      </c>
      <c r="I430" s="7" t="s">
        <v>13</v>
      </c>
      <c r="J430" s="7" t="s">
        <v>925</v>
      </c>
      <c r="K430" s="7" t="s">
        <v>14</v>
      </c>
    </row>
    <row r="431" spans="1:11" x14ac:dyDescent="0.3">
      <c r="A431" s="10">
        <v>428</v>
      </c>
      <c r="B431" s="10" t="s">
        <v>4831</v>
      </c>
      <c r="C431" s="10" t="s">
        <v>4832</v>
      </c>
      <c r="D431" s="10" t="s">
        <v>3912</v>
      </c>
      <c r="E431" s="10" t="s">
        <v>383</v>
      </c>
      <c r="F431" s="10" t="s">
        <v>455</v>
      </c>
      <c r="G431" s="10" t="str">
        <f>"32/D"</f>
        <v>32/D</v>
      </c>
      <c r="H431" s="10" t="str">
        <f>"30172"</f>
        <v>30172</v>
      </c>
      <c r="I431" s="10" t="s">
        <v>13</v>
      </c>
      <c r="J431" s="10" t="s">
        <v>926</v>
      </c>
      <c r="K431" s="10" t="s">
        <v>43</v>
      </c>
    </row>
    <row r="432" spans="1:11" x14ac:dyDescent="0.3">
      <c r="A432" s="8">
        <v>429</v>
      </c>
      <c r="B432" s="8" t="s">
        <v>4833</v>
      </c>
      <c r="C432" s="8" t="s">
        <v>4834</v>
      </c>
      <c r="D432" s="8" t="s">
        <v>3912</v>
      </c>
      <c r="E432" s="8" t="s">
        <v>383</v>
      </c>
      <c r="F432" s="8" t="s">
        <v>4835</v>
      </c>
      <c r="G432" s="8" t="str">
        <f>"57"</f>
        <v>57</v>
      </c>
      <c r="H432" s="8" t="str">
        <f>"30173"</f>
        <v>30173</v>
      </c>
      <c r="I432" s="8" t="s">
        <v>13</v>
      </c>
      <c r="J432" s="8" t="s">
        <v>927</v>
      </c>
      <c r="K432" s="8" t="s">
        <v>254</v>
      </c>
    </row>
    <row r="433" spans="1:11" x14ac:dyDescent="0.3">
      <c r="A433" s="7">
        <v>430</v>
      </c>
      <c r="B433" s="7" t="s">
        <v>4836</v>
      </c>
      <c r="C433" s="7" t="s">
        <v>4837</v>
      </c>
      <c r="D433" s="7" t="s">
        <v>3912</v>
      </c>
      <c r="E433" s="7" t="s">
        <v>383</v>
      </c>
      <c r="F433" s="7" t="s">
        <v>4838</v>
      </c>
      <c r="G433" s="7" t="str">
        <f>"560"</f>
        <v>560</v>
      </c>
      <c r="H433" s="7" t="str">
        <f>"30142"</f>
        <v>30142</v>
      </c>
      <c r="I433" s="7" t="s">
        <v>13</v>
      </c>
      <c r="J433" s="7" t="s">
        <v>925</v>
      </c>
      <c r="K433" s="7" t="s">
        <v>14</v>
      </c>
    </row>
    <row r="434" spans="1:11" x14ac:dyDescent="0.3">
      <c r="A434" s="7">
        <v>431</v>
      </c>
      <c r="B434" s="7" t="s">
        <v>4839</v>
      </c>
      <c r="C434" s="7" t="s">
        <v>4840</v>
      </c>
      <c r="D434" s="7" t="s">
        <v>3912</v>
      </c>
      <c r="E434" s="7" t="s">
        <v>383</v>
      </c>
      <c r="F434" s="7" t="s">
        <v>4750</v>
      </c>
      <c r="G434" s="7" t="str">
        <f>"150"</f>
        <v>150</v>
      </c>
      <c r="H434" s="7" t="str">
        <f>"30175"</f>
        <v>30175</v>
      </c>
      <c r="I434" s="7" t="s">
        <v>13</v>
      </c>
      <c r="J434" s="7" t="s">
        <v>925</v>
      </c>
      <c r="K434" s="7" t="s">
        <v>58</v>
      </c>
    </row>
    <row r="435" spans="1:11" x14ac:dyDescent="0.3">
      <c r="A435" s="20">
        <v>432</v>
      </c>
      <c r="B435" s="20" t="s">
        <v>4841</v>
      </c>
      <c r="C435" s="20" t="s">
        <v>4842</v>
      </c>
      <c r="D435" s="20" t="s">
        <v>3912</v>
      </c>
      <c r="E435" s="20" t="s">
        <v>383</v>
      </c>
      <c r="F435" s="20" t="s">
        <v>2595</v>
      </c>
      <c r="G435" s="20" t="str">
        <f>"203/E-F"</f>
        <v>203/E-F</v>
      </c>
      <c r="H435" s="20" t="str">
        <f>"30174"</f>
        <v>30174</v>
      </c>
      <c r="I435" s="20" t="s">
        <v>13</v>
      </c>
      <c r="J435" s="20" t="s">
        <v>928</v>
      </c>
      <c r="K435" s="20" t="s">
        <v>1701</v>
      </c>
    </row>
    <row r="436" spans="1:11" x14ac:dyDescent="0.3">
      <c r="A436" s="7">
        <v>433</v>
      </c>
      <c r="B436" s="7" t="s">
        <v>4843</v>
      </c>
      <c r="C436" s="7" t="s">
        <v>4844</v>
      </c>
      <c r="D436" s="7" t="s">
        <v>3912</v>
      </c>
      <c r="E436" s="7" t="s">
        <v>383</v>
      </c>
      <c r="F436" s="7" t="s">
        <v>2130</v>
      </c>
      <c r="G436" s="7" t="str">
        <f>"70"</f>
        <v>70</v>
      </c>
      <c r="H436" s="7" t="str">
        <f>"30171"</f>
        <v>30171</v>
      </c>
      <c r="I436" s="7" t="s">
        <v>13</v>
      </c>
      <c r="J436" s="7" t="s">
        <v>925</v>
      </c>
      <c r="K436" s="7" t="s">
        <v>14</v>
      </c>
    </row>
    <row r="437" spans="1:11" x14ac:dyDescent="0.3">
      <c r="A437" s="7">
        <v>434</v>
      </c>
      <c r="B437" s="7" t="s">
        <v>4845</v>
      </c>
      <c r="C437" s="7" t="s">
        <v>4846</v>
      </c>
      <c r="D437" s="7" t="s">
        <v>3912</v>
      </c>
      <c r="E437" s="7" t="s">
        <v>383</v>
      </c>
      <c r="F437" s="7" t="s">
        <v>1967</v>
      </c>
      <c r="G437" s="7" t="str">
        <f>"180"</f>
        <v>180</v>
      </c>
      <c r="H437" s="7" t="str">
        <f>"30172"</f>
        <v>30172</v>
      </c>
      <c r="I437" s="7" t="s">
        <v>13</v>
      </c>
      <c r="J437" s="7" t="s">
        <v>925</v>
      </c>
      <c r="K437" s="7" t="s">
        <v>43</v>
      </c>
    </row>
    <row r="438" spans="1:11" x14ac:dyDescent="0.3">
      <c r="A438" s="7">
        <v>435</v>
      </c>
      <c r="B438" s="7" t="s">
        <v>4847</v>
      </c>
      <c r="C438" s="7" t="s">
        <v>2133</v>
      </c>
      <c r="D438" s="7" t="s">
        <v>3912</v>
      </c>
      <c r="E438" s="7" t="s">
        <v>383</v>
      </c>
      <c r="F438" s="7" t="s">
        <v>4848</v>
      </c>
      <c r="G438" s="7" t="str">
        <f>"81"</f>
        <v>81</v>
      </c>
      <c r="H438" s="7" t="str">
        <f>"30175"</f>
        <v>30175</v>
      </c>
      <c r="I438" s="7" t="s">
        <v>13</v>
      </c>
      <c r="J438" s="7" t="s">
        <v>925</v>
      </c>
      <c r="K438" s="7" t="s">
        <v>58</v>
      </c>
    </row>
    <row r="439" spans="1:11" x14ac:dyDescent="0.3">
      <c r="A439" s="10">
        <v>436</v>
      </c>
      <c r="B439" s="10" t="s">
        <v>4849</v>
      </c>
      <c r="C439" s="10" t="s">
        <v>4850</v>
      </c>
      <c r="D439" s="10" t="s">
        <v>3912</v>
      </c>
      <c r="E439" s="10" t="s">
        <v>383</v>
      </c>
      <c r="F439" s="10" t="s">
        <v>4851</v>
      </c>
      <c r="G439" s="10" t="str">
        <f>"33"</f>
        <v>33</v>
      </c>
      <c r="H439" s="10" t="str">
        <f>"30172"</f>
        <v>30172</v>
      </c>
      <c r="I439" s="10" t="s">
        <v>13</v>
      </c>
      <c r="J439" s="10" t="s">
        <v>926</v>
      </c>
      <c r="K439" s="10" t="s">
        <v>14</v>
      </c>
    </row>
    <row r="440" spans="1:11" x14ac:dyDescent="0.3">
      <c r="A440" s="10">
        <v>437</v>
      </c>
      <c r="B440" s="10" t="s">
        <v>4852</v>
      </c>
      <c r="C440" s="10" t="s">
        <v>4853</v>
      </c>
      <c r="D440" s="10" t="s">
        <v>3912</v>
      </c>
      <c r="E440" s="10" t="s">
        <v>383</v>
      </c>
      <c r="F440" s="10" t="s">
        <v>4629</v>
      </c>
      <c r="G440" s="10" t="str">
        <f>"2465/F"</f>
        <v>2465/F</v>
      </c>
      <c r="H440" s="10" t="str">
        <f>"30125"</f>
        <v>30125</v>
      </c>
      <c r="I440" s="10" t="s">
        <v>13</v>
      </c>
      <c r="J440" s="10" t="s">
        <v>926</v>
      </c>
      <c r="K440" s="10" t="s">
        <v>224</v>
      </c>
    </row>
    <row r="441" spans="1:11" x14ac:dyDescent="0.3">
      <c r="A441" s="10">
        <v>438</v>
      </c>
      <c r="B441" s="10" t="s">
        <v>4854</v>
      </c>
      <c r="C441" s="10" t="s">
        <v>2003</v>
      </c>
      <c r="D441" s="10" t="s">
        <v>3912</v>
      </c>
      <c r="E441" s="10" t="s">
        <v>383</v>
      </c>
      <c r="F441" s="10" t="s">
        <v>4855</v>
      </c>
      <c r="G441" s="10" t="str">
        <f>"7"</f>
        <v>7</v>
      </c>
      <c r="H441" s="10" t="str">
        <f>"30175"</f>
        <v>30175</v>
      </c>
      <c r="I441" s="10" t="s">
        <v>13</v>
      </c>
      <c r="J441" s="10" t="s">
        <v>926</v>
      </c>
      <c r="K441" s="10" t="s">
        <v>95</v>
      </c>
    </row>
    <row r="442" spans="1:11" x14ac:dyDescent="0.3">
      <c r="A442" s="7">
        <v>439</v>
      </c>
      <c r="B442" s="7" t="s">
        <v>4856</v>
      </c>
      <c r="C442" s="7" t="s">
        <v>4857</v>
      </c>
      <c r="D442" s="7" t="s">
        <v>3912</v>
      </c>
      <c r="E442" s="7" t="s">
        <v>383</v>
      </c>
      <c r="F442" s="7" t="s">
        <v>4858</v>
      </c>
      <c r="G442" s="7" t="str">
        <f>"28"</f>
        <v>28</v>
      </c>
      <c r="H442" s="7" t="str">
        <f>"30174"</f>
        <v>30174</v>
      </c>
      <c r="I442" s="7" t="s">
        <v>13</v>
      </c>
      <c r="J442" s="7" t="s">
        <v>925</v>
      </c>
      <c r="K442" s="7" t="s">
        <v>43</v>
      </c>
    </row>
    <row r="443" spans="1:11" x14ac:dyDescent="0.3">
      <c r="A443" s="7">
        <v>440</v>
      </c>
      <c r="B443" s="7" t="s">
        <v>4859</v>
      </c>
      <c r="C443" s="7" t="s">
        <v>4860</v>
      </c>
      <c r="D443" s="7" t="s">
        <v>3912</v>
      </c>
      <c r="E443" s="7" t="s">
        <v>383</v>
      </c>
      <c r="F443" s="7" t="s">
        <v>4510</v>
      </c>
      <c r="G443" s="7" t="str">
        <f>"185"</f>
        <v>185</v>
      </c>
      <c r="H443" s="7" t="str">
        <f>"30173"</f>
        <v>30173</v>
      </c>
      <c r="I443" s="7" t="s">
        <v>13</v>
      </c>
      <c r="J443" s="7" t="s">
        <v>925</v>
      </c>
      <c r="K443" s="7" t="s">
        <v>20</v>
      </c>
    </row>
    <row r="444" spans="1:11" x14ac:dyDescent="0.3">
      <c r="A444" s="10">
        <v>441</v>
      </c>
      <c r="B444" s="10" t="s">
        <v>4861</v>
      </c>
      <c r="C444" s="10" t="s">
        <v>4862</v>
      </c>
      <c r="D444" s="10" t="s">
        <v>3912</v>
      </c>
      <c r="E444" s="10" t="s">
        <v>383</v>
      </c>
      <c r="F444" s="10" t="s">
        <v>4230</v>
      </c>
      <c r="G444" s="10" t="str">
        <f>"413"</f>
        <v>413</v>
      </c>
      <c r="H444" s="10" t="str">
        <f>"30174"</f>
        <v>30174</v>
      </c>
      <c r="I444" s="10" t="s">
        <v>13</v>
      </c>
      <c r="J444" s="10" t="s">
        <v>926</v>
      </c>
      <c r="K444" s="10" t="s">
        <v>20</v>
      </c>
    </row>
    <row r="445" spans="1:11" x14ac:dyDescent="0.3">
      <c r="A445" s="10">
        <v>442</v>
      </c>
      <c r="B445" s="10" t="s">
        <v>4863</v>
      </c>
      <c r="C445" s="10" t="s">
        <v>4864</v>
      </c>
      <c r="D445" s="10" t="s">
        <v>3912</v>
      </c>
      <c r="E445" s="10" t="s">
        <v>383</v>
      </c>
      <c r="F445" s="10" t="s">
        <v>4865</v>
      </c>
      <c r="G445" s="10" t="str">
        <f>"12"</f>
        <v>12</v>
      </c>
      <c r="H445" s="10" t="str">
        <f>"30171"</f>
        <v>30171</v>
      </c>
      <c r="I445" s="10" t="s">
        <v>13</v>
      </c>
      <c r="J445" s="10" t="s">
        <v>926</v>
      </c>
      <c r="K445" s="10" t="s">
        <v>14</v>
      </c>
    </row>
    <row r="446" spans="1:11" x14ac:dyDescent="0.3">
      <c r="A446" s="7">
        <v>443</v>
      </c>
      <c r="B446" s="7" t="s">
        <v>4866</v>
      </c>
      <c r="C446" s="7" t="s">
        <v>4867</v>
      </c>
      <c r="D446" s="7" t="s">
        <v>3912</v>
      </c>
      <c r="E446" s="7" t="s">
        <v>383</v>
      </c>
      <c r="F446" s="7" t="s">
        <v>4528</v>
      </c>
      <c r="G446" s="7" t="str">
        <f>"9/M"</f>
        <v>9/M</v>
      </c>
      <c r="H446" s="7" t="str">
        <f>"30175"</f>
        <v>30175</v>
      </c>
      <c r="I446" s="7" t="s">
        <v>13</v>
      </c>
      <c r="J446" s="7" t="s">
        <v>925</v>
      </c>
      <c r="K446" s="7" t="s">
        <v>14</v>
      </c>
    </row>
    <row r="447" spans="1:11" x14ac:dyDescent="0.3">
      <c r="A447" s="20">
        <v>444</v>
      </c>
      <c r="B447" s="20" t="s">
        <v>4868</v>
      </c>
      <c r="C447" s="20" t="s">
        <v>4691</v>
      </c>
      <c r="D447" s="20" t="s">
        <v>3912</v>
      </c>
      <c r="E447" s="20" t="s">
        <v>383</v>
      </c>
      <c r="F447" s="20" t="s">
        <v>4869</v>
      </c>
      <c r="G447" s="20" t="str">
        <f>"2975"</f>
        <v>2975</v>
      </c>
      <c r="H447" s="20" t="str">
        <f>"30123"</f>
        <v>30123</v>
      </c>
      <c r="I447" s="20" t="s">
        <v>13</v>
      </c>
      <c r="J447" s="20" t="s">
        <v>928</v>
      </c>
      <c r="K447" s="20" t="s">
        <v>14</v>
      </c>
    </row>
    <row r="448" spans="1:11" x14ac:dyDescent="0.3">
      <c r="A448" s="7">
        <v>445</v>
      </c>
      <c r="B448" s="7" t="s">
        <v>4870</v>
      </c>
      <c r="C448" s="7" t="s">
        <v>4871</v>
      </c>
      <c r="D448" s="7" t="s">
        <v>3912</v>
      </c>
      <c r="E448" s="7" t="s">
        <v>383</v>
      </c>
      <c r="F448" s="7" t="s">
        <v>4544</v>
      </c>
      <c r="G448" s="7" t="str">
        <f>"52"</f>
        <v>52</v>
      </c>
      <c r="H448" s="7" t="str">
        <f>"30124"</f>
        <v>30124</v>
      </c>
      <c r="I448" s="7" t="s">
        <v>13</v>
      </c>
      <c r="J448" s="7" t="s">
        <v>925</v>
      </c>
      <c r="K448" s="7" t="s">
        <v>14</v>
      </c>
    </row>
    <row r="449" spans="1:11" x14ac:dyDescent="0.3">
      <c r="A449" s="10">
        <v>446</v>
      </c>
      <c r="B449" s="10" t="s">
        <v>4870</v>
      </c>
      <c r="C449" s="10" t="s">
        <v>4872</v>
      </c>
      <c r="D449" s="10" t="s">
        <v>3912</v>
      </c>
      <c r="E449" s="10" t="s">
        <v>383</v>
      </c>
      <c r="F449" s="10" t="s">
        <v>4520</v>
      </c>
      <c r="G449" s="10" t="str">
        <f>"2076"</f>
        <v>2076</v>
      </c>
      <c r="H449" s="10" t="str">
        <f>"30135"</f>
        <v>30135</v>
      </c>
      <c r="I449" s="10" t="s">
        <v>13</v>
      </c>
      <c r="J449" s="10" t="s">
        <v>926</v>
      </c>
      <c r="K449" s="10" t="s">
        <v>14</v>
      </c>
    </row>
    <row r="450" spans="1:11" x14ac:dyDescent="0.3">
      <c r="A450" s="10">
        <v>447</v>
      </c>
      <c r="B450" s="10" t="s">
        <v>4870</v>
      </c>
      <c r="C450" s="10" t="s">
        <v>4873</v>
      </c>
      <c r="D450" s="10" t="s">
        <v>3912</v>
      </c>
      <c r="E450" s="10" t="s">
        <v>383</v>
      </c>
      <c r="F450" s="10" t="s">
        <v>4544</v>
      </c>
      <c r="G450" s="10" t="str">
        <f>"1"</f>
        <v>1</v>
      </c>
      <c r="H450" s="10" t="str">
        <f>"30124"</f>
        <v>30124</v>
      </c>
      <c r="I450" s="10" t="s">
        <v>13</v>
      </c>
      <c r="J450" s="10" t="s">
        <v>926</v>
      </c>
      <c r="K450" s="10" t="s">
        <v>14</v>
      </c>
    </row>
    <row r="451" spans="1:11" x14ac:dyDescent="0.3">
      <c r="A451" s="7">
        <v>448</v>
      </c>
      <c r="B451" s="7" t="s">
        <v>4870</v>
      </c>
      <c r="C451" s="7" t="s">
        <v>4874</v>
      </c>
      <c r="D451" s="7" t="s">
        <v>3912</v>
      </c>
      <c r="E451" s="7" t="s">
        <v>383</v>
      </c>
      <c r="F451" s="7" t="s">
        <v>4875</v>
      </c>
      <c r="G451" s="7" t="str">
        <f>"4"</f>
        <v>4</v>
      </c>
      <c r="H451" s="7" t="str">
        <f>"30173"</f>
        <v>30173</v>
      </c>
      <c r="I451" s="7" t="s">
        <v>13</v>
      </c>
      <c r="J451" s="7" t="s">
        <v>925</v>
      </c>
      <c r="K451" s="7" t="s">
        <v>14</v>
      </c>
    </row>
    <row r="452" spans="1:11" x14ac:dyDescent="0.3">
      <c r="A452" s="7">
        <v>449</v>
      </c>
      <c r="B452" s="7" t="s">
        <v>4870</v>
      </c>
      <c r="C452" s="7" t="s">
        <v>4874</v>
      </c>
      <c r="D452" s="7" t="s">
        <v>3912</v>
      </c>
      <c r="E452" s="7" t="s">
        <v>383</v>
      </c>
      <c r="F452" s="7" t="s">
        <v>4507</v>
      </c>
      <c r="G452" s="7" t="str">
        <f>"2079"</f>
        <v>2079</v>
      </c>
      <c r="H452" s="7" t="str">
        <f>"30121"</f>
        <v>30121</v>
      </c>
      <c r="I452" s="7" t="s">
        <v>13</v>
      </c>
      <c r="J452" s="7" t="s">
        <v>925</v>
      </c>
      <c r="K452" s="7" t="s">
        <v>14</v>
      </c>
    </row>
    <row r="453" spans="1:11" x14ac:dyDescent="0.3">
      <c r="A453" s="10">
        <v>450</v>
      </c>
      <c r="B453" s="10" t="s">
        <v>4870</v>
      </c>
      <c r="C453" s="10" t="s">
        <v>4876</v>
      </c>
      <c r="D453" s="10" t="s">
        <v>3912</v>
      </c>
      <c r="E453" s="10" t="s">
        <v>383</v>
      </c>
      <c r="F453" s="10" t="s">
        <v>4684</v>
      </c>
      <c r="G453" s="10" t="str">
        <f>"3136"</f>
        <v>3136</v>
      </c>
      <c r="H453" s="10" t="str">
        <f>"30123"</f>
        <v>30123</v>
      </c>
      <c r="I453" s="10" t="s">
        <v>13</v>
      </c>
      <c r="J453" s="10" t="s">
        <v>926</v>
      </c>
      <c r="K453" s="10" t="s">
        <v>14</v>
      </c>
    </row>
    <row r="454" spans="1:11" x14ac:dyDescent="0.3">
      <c r="A454" s="7">
        <v>451</v>
      </c>
      <c r="B454" s="7" t="s">
        <v>4877</v>
      </c>
      <c r="C454" s="7" t="s">
        <v>4878</v>
      </c>
      <c r="D454" s="7" t="s">
        <v>3912</v>
      </c>
      <c r="E454" s="7" t="s">
        <v>383</v>
      </c>
      <c r="F454" s="7" t="s">
        <v>4879</v>
      </c>
      <c r="G454" s="7" t="str">
        <f>"1"</f>
        <v>1</v>
      </c>
      <c r="H454" s="7" t="str">
        <f>"30175"</f>
        <v>30175</v>
      </c>
      <c r="I454" s="7" t="s">
        <v>13</v>
      </c>
      <c r="J454" s="7" t="s">
        <v>925</v>
      </c>
      <c r="K454" s="7" t="s">
        <v>2924</v>
      </c>
    </row>
    <row r="455" spans="1:11" x14ac:dyDescent="0.3">
      <c r="A455" s="7">
        <v>452</v>
      </c>
      <c r="B455" s="7" t="s">
        <v>4880</v>
      </c>
      <c r="C455" s="7" t="s">
        <v>4881</v>
      </c>
      <c r="D455" s="7" t="s">
        <v>3912</v>
      </c>
      <c r="E455" s="7" t="s">
        <v>383</v>
      </c>
      <c r="F455" s="7" t="s">
        <v>4882</v>
      </c>
      <c r="G455" s="7" t="str">
        <f>"164"</f>
        <v>164</v>
      </c>
      <c r="H455" s="7" t="str">
        <f>"30135"</f>
        <v>30135</v>
      </c>
      <c r="I455" s="7" t="s">
        <v>13</v>
      </c>
      <c r="J455" s="7" t="s">
        <v>925</v>
      </c>
      <c r="K455" s="7" t="s">
        <v>224</v>
      </c>
    </row>
    <row r="456" spans="1:11" x14ac:dyDescent="0.3">
      <c r="A456" s="7">
        <v>453</v>
      </c>
      <c r="B456" s="7" t="s">
        <v>4883</v>
      </c>
      <c r="C456" s="7" t="s">
        <v>4884</v>
      </c>
      <c r="D456" s="7" t="s">
        <v>3912</v>
      </c>
      <c r="E456" s="7" t="s">
        <v>383</v>
      </c>
      <c r="F456" s="7" t="s">
        <v>4885</v>
      </c>
      <c r="G456" s="7" t="str">
        <f>"4/6"</f>
        <v>4/6</v>
      </c>
      <c r="H456" s="7" t="str">
        <f>"30174"</f>
        <v>30174</v>
      </c>
      <c r="I456" s="7" t="s">
        <v>13</v>
      </c>
      <c r="J456" s="7" t="s">
        <v>925</v>
      </c>
      <c r="K456" s="7" t="s">
        <v>43</v>
      </c>
    </row>
    <row r="457" spans="1:11" x14ac:dyDescent="0.3">
      <c r="A457" s="10">
        <v>454</v>
      </c>
      <c r="B457" s="10" t="s">
        <v>4886</v>
      </c>
      <c r="C457" s="10" t="s">
        <v>4887</v>
      </c>
      <c r="D457" s="10" t="s">
        <v>3912</v>
      </c>
      <c r="E457" s="10" t="s">
        <v>383</v>
      </c>
      <c r="F457" s="10" t="s">
        <v>4888</v>
      </c>
      <c r="G457" s="10" t="str">
        <f>"3997/D"</f>
        <v>3997/D</v>
      </c>
      <c r="H457" s="10" t="str">
        <f>"30124"</f>
        <v>30124</v>
      </c>
      <c r="I457" s="10" t="s">
        <v>13</v>
      </c>
      <c r="J457" s="10" t="s">
        <v>926</v>
      </c>
      <c r="K457" s="10" t="s">
        <v>14</v>
      </c>
    </row>
    <row r="458" spans="1:11" x14ac:dyDescent="0.3">
      <c r="A458" s="8">
        <v>455</v>
      </c>
      <c r="B458" s="8" t="s">
        <v>4889</v>
      </c>
      <c r="C458" s="8" t="s">
        <v>2428</v>
      </c>
      <c r="D458" s="8" t="s">
        <v>3912</v>
      </c>
      <c r="E458" s="8" t="s">
        <v>383</v>
      </c>
      <c r="F458" s="8" t="s">
        <v>4890</v>
      </c>
      <c r="G458" s="8" t="str">
        <f>"5065/D"</f>
        <v>5065/D</v>
      </c>
      <c r="H458" s="8" t="str">
        <f>"30122"</f>
        <v>30122</v>
      </c>
      <c r="I458" s="8" t="s">
        <v>13</v>
      </c>
      <c r="J458" s="8" t="s">
        <v>927</v>
      </c>
      <c r="K458" s="8" t="s">
        <v>20</v>
      </c>
    </row>
    <row r="459" spans="1:11" x14ac:dyDescent="0.3">
      <c r="A459" s="10">
        <v>456</v>
      </c>
      <c r="B459" s="10" t="s">
        <v>4891</v>
      </c>
      <c r="C459" s="10" t="s">
        <v>4892</v>
      </c>
      <c r="D459" s="10" t="s">
        <v>3912</v>
      </c>
      <c r="E459" s="10" t="s">
        <v>383</v>
      </c>
      <c r="F459" s="10" t="s">
        <v>1803</v>
      </c>
      <c r="G459" s="10" t="str">
        <f>"1"</f>
        <v>1</v>
      </c>
      <c r="H459" s="10" t="str">
        <f>"30171"</f>
        <v>30171</v>
      </c>
      <c r="I459" s="10" t="s">
        <v>13</v>
      </c>
      <c r="J459" s="10" t="s">
        <v>926</v>
      </c>
      <c r="K459" s="10" t="s">
        <v>14</v>
      </c>
    </row>
    <row r="460" spans="1:11" x14ac:dyDescent="0.3">
      <c r="A460" s="10">
        <v>457</v>
      </c>
      <c r="B460" s="10" t="s">
        <v>4891</v>
      </c>
      <c r="C460" s="10" t="s">
        <v>4893</v>
      </c>
      <c r="D460" s="10" t="s">
        <v>3912</v>
      </c>
      <c r="E460" s="10" t="s">
        <v>383</v>
      </c>
      <c r="F460" s="10" t="s">
        <v>1803</v>
      </c>
      <c r="G460" s="10" t="str">
        <f>"4"</f>
        <v>4</v>
      </c>
      <c r="H460" s="10" t="str">
        <f>"30171"</f>
        <v>30171</v>
      </c>
      <c r="I460" s="10" t="s">
        <v>13</v>
      </c>
      <c r="J460" s="10" t="s">
        <v>926</v>
      </c>
      <c r="K460" s="10" t="s">
        <v>20</v>
      </c>
    </row>
    <row r="461" spans="1:11" x14ac:dyDescent="0.3">
      <c r="A461" s="8">
        <v>458</v>
      </c>
      <c r="B461" s="8" t="s">
        <v>4894</v>
      </c>
      <c r="C461" s="8" t="s">
        <v>4895</v>
      </c>
      <c r="D461" s="8" t="s">
        <v>3912</v>
      </c>
      <c r="E461" s="8" t="s">
        <v>383</v>
      </c>
      <c r="F461" s="8" t="s">
        <v>4896</v>
      </c>
      <c r="G461" s="8" t="str">
        <f>"BOX 2/3"</f>
        <v>BOX 2/3</v>
      </c>
      <c r="H461" s="8" t="str">
        <f>"30174"</f>
        <v>30174</v>
      </c>
      <c r="I461" s="8" t="s">
        <v>13</v>
      </c>
      <c r="J461" s="8" t="s">
        <v>927</v>
      </c>
      <c r="K461" s="8" t="s">
        <v>4167</v>
      </c>
    </row>
    <row r="462" spans="1:11" x14ac:dyDescent="0.3">
      <c r="A462" s="8">
        <v>459</v>
      </c>
      <c r="B462" s="8" t="s">
        <v>4897</v>
      </c>
      <c r="C462" s="8" t="s">
        <v>4898</v>
      </c>
      <c r="D462" s="8" t="s">
        <v>3912</v>
      </c>
      <c r="E462" s="8" t="s">
        <v>383</v>
      </c>
      <c r="F462" s="8" t="s">
        <v>4899</v>
      </c>
      <c r="G462" s="8" t="str">
        <f>"22"</f>
        <v>22</v>
      </c>
      <c r="H462" s="8" t="str">
        <f>"30175"</f>
        <v>30175</v>
      </c>
      <c r="I462" s="8" t="s">
        <v>13</v>
      </c>
      <c r="J462" s="8" t="s">
        <v>927</v>
      </c>
      <c r="K462" s="8" t="s">
        <v>20</v>
      </c>
    </row>
    <row r="463" spans="1:11" x14ac:dyDescent="0.3">
      <c r="A463" s="7">
        <v>460</v>
      </c>
      <c r="B463" s="7" t="s">
        <v>4900</v>
      </c>
      <c r="C463" s="7" t="s">
        <v>4901</v>
      </c>
      <c r="D463" s="7" t="s">
        <v>3912</v>
      </c>
      <c r="E463" s="7" t="s">
        <v>383</v>
      </c>
      <c r="F463" s="7" t="s">
        <v>1956</v>
      </c>
      <c r="G463" s="7" t="str">
        <f>"12"</f>
        <v>12</v>
      </c>
      <c r="H463" s="7" t="str">
        <f>"30175"</f>
        <v>30175</v>
      </c>
      <c r="I463" s="7" t="s">
        <v>13</v>
      </c>
      <c r="J463" s="7" t="s">
        <v>925</v>
      </c>
      <c r="K463" s="7" t="s">
        <v>456</v>
      </c>
    </row>
    <row r="464" spans="1:11" x14ac:dyDescent="0.3">
      <c r="A464" s="10">
        <v>461</v>
      </c>
      <c r="B464" s="10" t="s">
        <v>4902</v>
      </c>
      <c r="C464" s="10" t="s">
        <v>4903</v>
      </c>
      <c r="D464" s="10" t="s">
        <v>3912</v>
      </c>
      <c r="E464" s="10" t="s">
        <v>383</v>
      </c>
      <c r="F464" s="10" t="s">
        <v>169</v>
      </c>
      <c r="G464" s="10" t="str">
        <f>"93/95"</f>
        <v>93/95</v>
      </c>
      <c r="H464" s="10" t="str">
        <f>"30171"</f>
        <v>30171</v>
      </c>
      <c r="I464" s="10" t="s">
        <v>13</v>
      </c>
      <c r="J464" s="10" t="s">
        <v>926</v>
      </c>
      <c r="K464" s="10" t="s">
        <v>254</v>
      </c>
    </row>
    <row r="465" spans="1:11" x14ac:dyDescent="0.3">
      <c r="A465" s="7">
        <v>462</v>
      </c>
      <c r="B465" s="7" t="s">
        <v>4904</v>
      </c>
      <c r="C465" s="7" t="s">
        <v>3810</v>
      </c>
      <c r="D465" s="7" t="s">
        <v>3912</v>
      </c>
      <c r="E465" s="7" t="s">
        <v>383</v>
      </c>
      <c r="F465" s="7" t="s">
        <v>3409</v>
      </c>
      <c r="G465" s="7" t="str">
        <f>"13"</f>
        <v>13</v>
      </c>
      <c r="H465" s="7" t="str">
        <f>"30171"</f>
        <v>30171</v>
      </c>
      <c r="I465" s="7" t="s">
        <v>13</v>
      </c>
      <c r="J465" s="7" t="s">
        <v>925</v>
      </c>
      <c r="K465" s="7" t="s">
        <v>14</v>
      </c>
    </row>
    <row r="466" spans="1:11" x14ac:dyDescent="0.3">
      <c r="A466" s="10">
        <v>463</v>
      </c>
      <c r="B466" s="10" t="s">
        <v>4905</v>
      </c>
      <c r="C466" s="10" t="s">
        <v>4906</v>
      </c>
      <c r="D466" s="10" t="s">
        <v>3912</v>
      </c>
      <c r="E466" s="10" t="s">
        <v>383</v>
      </c>
      <c r="F466" s="10" t="s">
        <v>4566</v>
      </c>
      <c r="G466" s="10" t="str">
        <f>"50"</f>
        <v>50</v>
      </c>
      <c r="H466" s="10" t="str">
        <f>"30172"</f>
        <v>30172</v>
      </c>
      <c r="I466" s="10" t="s">
        <v>13</v>
      </c>
      <c r="J466" s="10" t="s">
        <v>926</v>
      </c>
      <c r="K466" s="10" t="s">
        <v>20</v>
      </c>
    </row>
    <row r="467" spans="1:11" x14ac:dyDescent="0.3">
      <c r="A467" s="7">
        <v>464</v>
      </c>
      <c r="B467" s="7" t="s">
        <v>4907</v>
      </c>
      <c r="C467" s="7" t="s">
        <v>4748</v>
      </c>
      <c r="D467" s="7" t="s">
        <v>3912</v>
      </c>
      <c r="E467" s="7" t="s">
        <v>383</v>
      </c>
      <c r="F467" s="7" t="s">
        <v>4908</v>
      </c>
      <c r="G467" s="7" t="str">
        <f>"1552"</f>
        <v>1552</v>
      </c>
      <c r="H467" s="7" t="str">
        <f>"30121"</f>
        <v>30121</v>
      </c>
      <c r="I467" s="7" t="s">
        <v>13</v>
      </c>
      <c r="J467" s="7" t="s">
        <v>925</v>
      </c>
      <c r="K467" s="7" t="s">
        <v>14</v>
      </c>
    </row>
    <row r="468" spans="1:11" x14ac:dyDescent="0.3">
      <c r="A468" s="10">
        <v>465</v>
      </c>
      <c r="B468" s="10" t="s">
        <v>4909</v>
      </c>
      <c r="C468" s="10" t="s">
        <v>4910</v>
      </c>
      <c r="D468" s="10" t="s">
        <v>3912</v>
      </c>
      <c r="E468" s="10" t="s">
        <v>383</v>
      </c>
      <c r="F468" s="10" t="s">
        <v>4911</v>
      </c>
      <c r="G468" s="10" t="str">
        <f>"3527"</f>
        <v>3527</v>
      </c>
      <c r="H468" s="10" t="str">
        <f>"30123"</f>
        <v>30123</v>
      </c>
      <c r="I468" s="10" t="s">
        <v>13</v>
      </c>
      <c r="J468" s="10" t="s">
        <v>926</v>
      </c>
      <c r="K468" s="10" t="s">
        <v>20</v>
      </c>
    </row>
    <row r="469" spans="1:11" x14ac:dyDescent="0.3">
      <c r="A469" s="10">
        <v>466</v>
      </c>
      <c r="B469" s="10" t="s">
        <v>4912</v>
      </c>
      <c r="C469" s="10" t="s">
        <v>4913</v>
      </c>
      <c r="D469" s="10" t="s">
        <v>3912</v>
      </c>
      <c r="E469" s="10" t="s">
        <v>383</v>
      </c>
      <c r="F469" s="10" t="s">
        <v>4914</v>
      </c>
      <c r="G469" s="10" t="str">
        <f>"391"</f>
        <v>391</v>
      </c>
      <c r="H469" s="10" t="str">
        <f>"30135"</f>
        <v>30135</v>
      </c>
      <c r="I469" s="10" t="s">
        <v>13</v>
      </c>
      <c r="J469" s="10" t="s">
        <v>926</v>
      </c>
      <c r="K469" s="10" t="s">
        <v>345</v>
      </c>
    </row>
    <row r="470" spans="1:11" x14ac:dyDescent="0.3">
      <c r="A470" s="7">
        <v>467</v>
      </c>
      <c r="B470" s="7" t="s">
        <v>4912</v>
      </c>
      <c r="C470" s="7" t="s">
        <v>4519</v>
      </c>
      <c r="D470" s="7" t="s">
        <v>3912</v>
      </c>
      <c r="E470" s="7" t="s">
        <v>383</v>
      </c>
      <c r="F470" s="7" t="s">
        <v>4914</v>
      </c>
      <c r="G470" s="7" t="str">
        <f>"393"</f>
        <v>393</v>
      </c>
      <c r="H470" s="7" t="str">
        <f>"30135"</f>
        <v>30135</v>
      </c>
      <c r="I470" s="7" t="s">
        <v>13</v>
      </c>
      <c r="J470" s="7" t="s">
        <v>925</v>
      </c>
      <c r="K470" s="7" t="s">
        <v>14</v>
      </c>
    </row>
    <row r="471" spans="1:11" x14ac:dyDescent="0.3">
      <c r="A471" s="7">
        <v>468</v>
      </c>
      <c r="B471" s="7" t="s">
        <v>4915</v>
      </c>
      <c r="C471" s="7" t="s">
        <v>4916</v>
      </c>
      <c r="D471" s="7" t="s">
        <v>3912</v>
      </c>
      <c r="E471" s="7" t="s">
        <v>383</v>
      </c>
      <c r="F471" s="7" t="s">
        <v>4828</v>
      </c>
      <c r="G471" s="7" t="str">
        <f>"41"</f>
        <v>41</v>
      </c>
      <c r="H471" s="7" t="str">
        <f>"30171"</f>
        <v>30171</v>
      </c>
      <c r="I471" s="7" t="s">
        <v>13</v>
      </c>
      <c r="J471" s="7" t="s">
        <v>925</v>
      </c>
      <c r="K471" s="7" t="s">
        <v>224</v>
      </c>
    </row>
    <row r="472" spans="1:11" x14ac:dyDescent="0.3">
      <c r="A472" s="20">
        <v>469</v>
      </c>
      <c r="B472" s="20" t="s">
        <v>4917</v>
      </c>
      <c r="C472" s="20" t="s">
        <v>4918</v>
      </c>
      <c r="D472" s="20" t="s">
        <v>3912</v>
      </c>
      <c r="E472" s="20" t="s">
        <v>383</v>
      </c>
      <c r="F472" s="20" t="s">
        <v>2595</v>
      </c>
      <c r="G472" s="20" t="str">
        <f>"64"</f>
        <v>64</v>
      </c>
      <c r="H472" s="20" t="str">
        <f>"30174"</f>
        <v>30174</v>
      </c>
      <c r="I472" s="20" t="s">
        <v>13</v>
      </c>
      <c r="J472" s="20" t="s">
        <v>928</v>
      </c>
      <c r="K472" s="20" t="s">
        <v>36</v>
      </c>
    </row>
    <row r="473" spans="1:11" x14ac:dyDescent="0.3">
      <c r="A473" s="21">
        <v>470</v>
      </c>
      <c r="B473" s="21" t="s">
        <v>4919</v>
      </c>
      <c r="C473" s="21" t="s">
        <v>4920</v>
      </c>
      <c r="D473" s="21" t="s">
        <v>3912</v>
      </c>
      <c r="E473" s="21" t="s">
        <v>383</v>
      </c>
      <c r="F473" s="21" t="s">
        <v>1967</v>
      </c>
      <c r="G473" s="21" t="str">
        <f>"110"</f>
        <v>110</v>
      </c>
      <c r="H473" s="21" t="str">
        <f>"30172"</f>
        <v>30172</v>
      </c>
      <c r="I473" s="21" t="s">
        <v>13</v>
      </c>
      <c r="J473" s="21" t="s">
        <v>924</v>
      </c>
      <c r="K473" s="21" t="s">
        <v>14</v>
      </c>
    </row>
    <row r="474" spans="1:11" x14ac:dyDescent="0.3">
      <c r="A474" s="21">
        <v>471</v>
      </c>
      <c r="B474" s="21" t="s">
        <v>4919</v>
      </c>
      <c r="C474" s="21" t="s">
        <v>4920</v>
      </c>
      <c r="D474" s="21" t="s">
        <v>3912</v>
      </c>
      <c r="E474" s="21" t="s">
        <v>383</v>
      </c>
      <c r="F474" s="21" t="s">
        <v>4507</v>
      </c>
      <c r="G474" s="21" t="str">
        <f>"168"</f>
        <v>168</v>
      </c>
      <c r="H474" s="21" t="str">
        <f>"30121"</f>
        <v>30121</v>
      </c>
      <c r="I474" s="21" t="s">
        <v>13</v>
      </c>
      <c r="J474" s="21" t="s">
        <v>924</v>
      </c>
      <c r="K474" s="21" t="s">
        <v>14</v>
      </c>
    </row>
    <row r="475" spans="1:11" x14ac:dyDescent="0.3">
      <c r="A475" s="7">
        <v>472</v>
      </c>
      <c r="B475" s="7" t="s">
        <v>4921</v>
      </c>
      <c r="C475" s="7" t="s">
        <v>4922</v>
      </c>
      <c r="D475" s="7" t="s">
        <v>3912</v>
      </c>
      <c r="E475" s="7" t="s">
        <v>383</v>
      </c>
      <c r="F475" s="7" t="s">
        <v>4923</v>
      </c>
      <c r="G475" s="7" t="str">
        <f>"28"</f>
        <v>28</v>
      </c>
      <c r="H475" s="7" t="str">
        <f>"30172"</f>
        <v>30172</v>
      </c>
      <c r="I475" s="7" t="s">
        <v>13</v>
      </c>
      <c r="J475" s="7" t="s">
        <v>925</v>
      </c>
      <c r="K475" s="7" t="s">
        <v>224</v>
      </c>
    </row>
    <row r="476" spans="1:11" x14ac:dyDescent="0.3">
      <c r="A476" s="7">
        <v>473</v>
      </c>
      <c r="B476" s="7" t="s">
        <v>4924</v>
      </c>
      <c r="C476" s="7" t="s">
        <v>4925</v>
      </c>
      <c r="D476" s="7" t="s">
        <v>3912</v>
      </c>
      <c r="E476" s="7" t="s">
        <v>383</v>
      </c>
      <c r="F476" s="7" t="s">
        <v>4555</v>
      </c>
      <c r="G476" s="7" t="str">
        <f>"75"</f>
        <v>75</v>
      </c>
      <c r="H476" s="7" t="str">
        <f>"30174"</f>
        <v>30174</v>
      </c>
      <c r="I476" s="7" t="s">
        <v>13</v>
      </c>
      <c r="J476" s="7" t="s">
        <v>925</v>
      </c>
      <c r="K476" s="7" t="s">
        <v>14</v>
      </c>
    </row>
    <row r="477" spans="1:11" x14ac:dyDescent="0.3">
      <c r="A477" s="10">
        <v>474</v>
      </c>
      <c r="B477" s="10" t="s">
        <v>4926</v>
      </c>
      <c r="C477" s="10" t="s">
        <v>4927</v>
      </c>
      <c r="D477" s="10" t="s">
        <v>3912</v>
      </c>
      <c r="E477" s="10" t="s">
        <v>383</v>
      </c>
      <c r="F477" s="10" t="s">
        <v>2578</v>
      </c>
      <c r="G477" s="10" t="str">
        <f>"74/D"</f>
        <v>74/D</v>
      </c>
      <c r="H477" s="10" t="str">
        <f>"30174"</f>
        <v>30174</v>
      </c>
      <c r="I477" s="10" t="s">
        <v>13</v>
      </c>
      <c r="J477" s="10" t="s">
        <v>926</v>
      </c>
      <c r="K477" s="10" t="s">
        <v>2896</v>
      </c>
    </row>
    <row r="478" spans="1:11" x14ac:dyDescent="0.3">
      <c r="A478" s="20">
        <v>475</v>
      </c>
      <c r="B478" s="20" t="s">
        <v>4928</v>
      </c>
      <c r="C478" s="20" t="s">
        <v>4929</v>
      </c>
      <c r="D478" s="20" t="s">
        <v>3912</v>
      </c>
      <c r="E478" s="20" t="s">
        <v>383</v>
      </c>
      <c r="F478" s="20" t="s">
        <v>4888</v>
      </c>
      <c r="G478" s="20" t="str">
        <f>"3711"</f>
        <v>3711</v>
      </c>
      <c r="H478" s="20" t="str">
        <f>"30124"</f>
        <v>30124</v>
      </c>
      <c r="I478" s="20" t="s">
        <v>13</v>
      </c>
      <c r="J478" s="20" t="s">
        <v>928</v>
      </c>
      <c r="K478" s="20" t="s">
        <v>14</v>
      </c>
    </row>
    <row r="479" spans="1:11" x14ac:dyDescent="0.3">
      <c r="A479" s="20">
        <v>476</v>
      </c>
      <c r="B479" s="20" t="s">
        <v>4930</v>
      </c>
      <c r="C479" s="20" t="s">
        <v>4931</v>
      </c>
      <c r="D479" s="20" t="s">
        <v>3912</v>
      </c>
      <c r="E479" s="20" t="s">
        <v>383</v>
      </c>
      <c r="F479" s="20" t="s">
        <v>4932</v>
      </c>
      <c r="G479" s="20" t="str">
        <f>"890/891"</f>
        <v>890/891</v>
      </c>
      <c r="H479" s="20" t="str">
        <f>"30135"</f>
        <v>30135</v>
      </c>
      <c r="I479" s="20" t="s">
        <v>13</v>
      </c>
      <c r="J479" s="20" t="s">
        <v>928</v>
      </c>
      <c r="K479" s="20" t="s">
        <v>58</v>
      </c>
    </row>
    <row r="480" spans="1:11" x14ac:dyDescent="0.3">
      <c r="A480" s="7">
        <v>477</v>
      </c>
      <c r="B480" s="7" t="s">
        <v>4933</v>
      </c>
      <c r="C480" s="7" t="s">
        <v>4934</v>
      </c>
      <c r="D480" s="7" t="s">
        <v>3912</v>
      </c>
      <c r="E480" s="7" t="s">
        <v>383</v>
      </c>
      <c r="F480" s="7" t="s">
        <v>455</v>
      </c>
      <c r="G480" s="7" t="str">
        <f>"37"</f>
        <v>37</v>
      </c>
      <c r="H480" s="7" t="str">
        <f>"30172"</f>
        <v>30172</v>
      </c>
      <c r="I480" s="7" t="s">
        <v>13</v>
      </c>
      <c r="J480" s="7" t="s">
        <v>925</v>
      </c>
      <c r="K480" s="7" t="s">
        <v>224</v>
      </c>
    </row>
    <row r="481" spans="1:11" x14ac:dyDescent="0.3">
      <c r="A481" s="7">
        <v>478</v>
      </c>
      <c r="B481" s="7" t="s">
        <v>4935</v>
      </c>
      <c r="C481" s="7" t="s">
        <v>4936</v>
      </c>
      <c r="D481" s="7" t="s">
        <v>3912</v>
      </c>
      <c r="E481" s="7" t="s">
        <v>383</v>
      </c>
      <c r="F481" s="7" t="s">
        <v>4247</v>
      </c>
      <c r="G481" s="7" t="str">
        <f>"62"</f>
        <v>62</v>
      </c>
      <c r="H481" s="7" t="str">
        <f>"30173"</f>
        <v>30173</v>
      </c>
      <c r="I481" s="7" t="s">
        <v>13</v>
      </c>
      <c r="J481" s="7" t="s">
        <v>925</v>
      </c>
      <c r="K481" s="7" t="s">
        <v>4937</v>
      </c>
    </row>
    <row r="482" spans="1:11" x14ac:dyDescent="0.3">
      <c r="A482" s="7">
        <v>479</v>
      </c>
      <c r="B482" s="7" t="s">
        <v>4938</v>
      </c>
      <c r="C482" s="7" t="s">
        <v>4939</v>
      </c>
      <c r="D482" s="7" t="s">
        <v>3912</v>
      </c>
      <c r="E482" s="7" t="s">
        <v>383</v>
      </c>
      <c r="F482" s="7" t="s">
        <v>4750</v>
      </c>
      <c r="G482" s="7" t="str">
        <f>"24"</f>
        <v>24</v>
      </c>
      <c r="H482" s="7" t="str">
        <f>"30175"</f>
        <v>30175</v>
      </c>
      <c r="I482" s="7" t="s">
        <v>13</v>
      </c>
      <c r="J482" s="7" t="s">
        <v>925</v>
      </c>
      <c r="K482" s="7" t="s">
        <v>27</v>
      </c>
    </row>
    <row r="483" spans="1:11" x14ac:dyDescent="0.3">
      <c r="A483" s="20">
        <v>480</v>
      </c>
      <c r="B483" s="20" t="s">
        <v>4940</v>
      </c>
      <c r="C483" s="20" t="s">
        <v>4941</v>
      </c>
      <c r="D483" s="20" t="s">
        <v>3912</v>
      </c>
      <c r="E483" s="20" t="s">
        <v>383</v>
      </c>
      <c r="F483" s="20" t="s">
        <v>4942</v>
      </c>
      <c r="G483" s="20" t="str">
        <f>"20"</f>
        <v>20</v>
      </c>
      <c r="H483" s="20" t="str">
        <f>"30173"</f>
        <v>30173</v>
      </c>
      <c r="I483" s="20" t="s">
        <v>13</v>
      </c>
      <c r="J483" s="20" t="s">
        <v>928</v>
      </c>
      <c r="K483" s="20" t="s">
        <v>14</v>
      </c>
    </row>
    <row r="484" spans="1:11" x14ac:dyDescent="0.3">
      <c r="A484" s="10">
        <v>481</v>
      </c>
      <c r="B484" s="10" t="s">
        <v>4943</v>
      </c>
      <c r="C484" s="10" t="s">
        <v>4944</v>
      </c>
      <c r="D484" s="10" t="s">
        <v>3912</v>
      </c>
      <c r="E484" s="10" t="s">
        <v>383</v>
      </c>
      <c r="F484" s="10" t="s">
        <v>4945</v>
      </c>
      <c r="G484" s="10" t="str">
        <f>"5/A"</f>
        <v>5/A</v>
      </c>
      <c r="H484" s="10" t="str">
        <f>"30174"</f>
        <v>30174</v>
      </c>
      <c r="I484" s="10" t="s">
        <v>13</v>
      </c>
      <c r="J484" s="10" t="s">
        <v>926</v>
      </c>
      <c r="K484" s="10" t="s">
        <v>20</v>
      </c>
    </row>
    <row r="485" spans="1:11" x14ac:dyDescent="0.3">
      <c r="A485" s="7">
        <v>482</v>
      </c>
      <c r="B485" s="7" t="s">
        <v>4946</v>
      </c>
      <c r="C485" s="7" t="s">
        <v>628</v>
      </c>
      <c r="D485" s="7" t="s">
        <v>3912</v>
      </c>
      <c r="E485" s="7" t="s">
        <v>383</v>
      </c>
      <c r="F485" s="7" t="s">
        <v>4571</v>
      </c>
      <c r="G485" s="7" t="str">
        <f>"26"</f>
        <v>26</v>
      </c>
      <c r="H485" s="7" t="str">
        <f>"30174"</f>
        <v>30174</v>
      </c>
      <c r="I485" s="7" t="s">
        <v>13</v>
      </c>
      <c r="J485" s="7" t="s">
        <v>925</v>
      </c>
      <c r="K485" s="7" t="s">
        <v>14</v>
      </c>
    </row>
    <row r="486" spans="1:11" x14ac:dyDescent="0.3">
      <c r="A486" s="10">
        <v>483</v>
      </c>
      <c r="B486" s="10" t="s">
        <v>4947</v>
      </c>
      <c r="C486" s="10" t="s">
        <v>4948</v>
      </c>
      <c r="D486" s="10" t="s">
        <v>3912</v>
      </c>
      <c r="E486" s="10" t="s">
        <v>383</v>
      </c>
      <c r="F486" s="10" t="s">
        <v>4510</v>
      </c>
      <c r="G486" s="10" t="str">
        <f>"14/D"</f>
        <v>14/D</v>
      </c>
      <c r="H486" s="10" t="str">
        <f>"30173"</f>
        <v>30173</v>
      </c>
      <c r="I486" s="10" t="s">
        <v>13</v>
      </c>
      <c r="J486" s="10" t="s">
        <v>926</v>
      </c>
      <c r="K486" s="10" t="s">
        <v>43</v>
      </c>
    </row>
    <row r="487" spans="1:11" x14ac:dyDescent="0.3">
      <c r="A487" s="10">
        <v>484</v>
      </c>
      <c r="B487" s="10" t="s">
        <v>4949</v>
      </c>
      <c r="C487" s="10" t="s">
        <v>4950</v>
      </c>
      <c r="D487" s="10" t="s">
        <v>3912</v>
      </c>
      <c r="E487" s="10" t="s">
        <v>383</v>
      </c>
      <c r="F487" s="10" t="s">
        <v>4520</v>
      </c>
      <c r="G487" s="10" t="str">
        <f>"666/F"</f>
        <v>666/F</v>
      </c>
      <c r="H487" s="10" t="str">
        <f>"30135"</f>
        <v>30135</v>
      </c>
      <c r="I487" s="10" t="s">
        <v>13</v>
      </c>
      <c r="J487" s="10" t="s">
        <v>926</v>
      </c>
      <c r="K487" s="10" t="s">
        <v>43</v>
      </c>
    </row>
    <row r="488" spans="1:11" x14ac:dyDescent="0.3">
      <c r="A488" s="10">
        <v>485</v>
      </c>
      <c r="B488" s="10" t="s">
        <v>4951</v>
      </c>
      <c r="C488" s="10" t="s">
        <v>4952</v>
      </c>
      <c r="D488" s="10" t="s">
        <v>3912</v>
      </c>
      <c r="E488" s="10" t="s">
        <v>383</v>
      </c>
      <c r="F488" s="10" t="s">
        <v>4566</v>
      </c>
      <c r="G488" s="10" t="str">
        <f>"1"</f>
        <v>1</v>
      </c>
      <c r="H488" s="10" t="str">
        <f>"30172"</f>
        <v>30172</v>
      </c>
      <c r="I488" s="10" t="s">
        <v>13</v>
      </c>
      <c r="J488" s="10" t="s">
        <v>926</v>
      </c>
      <c r="K488" s="10" t="s">
        <v>1701</v>
      </c>
    </row>
    <row r="489" spans="1:11" x14ac:dyDescent="0.3">
      <c r="A489" s="7">
        <v>486</v>
      </c>
      <c r="B489" s="7" t="s">
        <v>4953</v>
      </c>
      <c r="C489" s="7" t="s">
        <v>4954</v>
      </c>
      <c r="D489" s="7" t="s">
        <v>3912</v>
      </c>
      <c r="E489" s="7" t="s">
        <v>383</v>
      </c>
      <c r="F489" s="7" t="s">
        <v>4809</v>
      </c>
      <c r="G489" s="7" t="str">
        <f>"258"</f>
        <v>258</v>
      </c>
      <c r="H489" s="7" t="str">
        <f>"30173"</f>
        <v>30173</v>
      </c>
      <c r="I489" s="7" t="s">
        <v>13</v>
      </c>
      <c r="J489" s="7" t="s">
        <v>925</v>
      </c>
      <c r="K489" s="7" t="s">
        <v>139</v>
      </c>
    </row>
    <row r="490" spans="1:11" x14ac:dyDescent="0.3">
      <c r="A490" s="7">
        <v>487</v>
      </c>
      <c r="B490" s="7" t="s">
        <v>4955</v>
      </c>
      <c r="C490" s="7" t="s">
        <v>4956</v>
      </c>
      <c r="D490" s="7" t="s">
        <v>3912</v>
      </c>
      <c r="E490" s="7" t="s">
        <v>383</v>
      </c>
      <c r="F490" s="7" t="s">
        <v>4679</v>
      </c>
      <c r="G490" s="7" t="str">
        <f>"148"</f>
        <v>148</v>
      </c>
      <c r="H490" s="7" t="str">
        <f>"30121"</f>
        <v>30121</v>
      </c>
      <c r="I490" s="7" t="s">
        <v>13</v>
      </c>
      <c r="J490" s="7" t="s">
        <v>925</v>
      </c>
      <c r="K490" s="7" t="s">
        <v>14</v>
      </c>
    </row>
    <row r="491" spans="1:11" x14ac:dyDescent="0.3">
      <c r="A491" s="7">
        <v>488</v>
      </c>
      <c r="B491" s="7" t="s">
        <v>4957</v>
      </c>
      <c r="C491" s="7" t="s">
        <v>4958</v>
      </c>
      <c r="D491" s="7" t="s">
        <v>3912</v>
      </c>
      <c r="E491" s="7" t="s">
        <v>383</v>
      </c>
      <c r="F491" s="7" t="s">
        <v>4574</v>
      </c>
      <c r="G491" s="7" t="str">
        <f>"44"</f>
        <v>44</v>
      </c>
      <c r="H491" s="7" t="str">
        <f>"30174"</f>
        <v>30174</v>
      </c>
      <c r="I491" s="7" t="s">
        <v>13</v>
      </c>
      <c r="J491" s="7" t="s">
        <v>925</v>
      </c>
      <c r="K491" s="7" t="s">
        <v>36</v>
      </c>
    </row>
    <row r="492" spans="1:11" x14ac:dyDescent="0.3">
      <c r="A492" s="7">
        <v>489</v>
      </c>
      <c r="B492" s="7" t="s">
        <v>4959</v>
      </c>
      <c r="C492" s="7" t="s">
        <v>4960</v>
      </c>
      <c r="D492" s="7" t="s">
        <v>3912</v>
      </c>
      <c r="E492" s="7" t="s">
        <v>383</v>
      </c>
      <c r="F492" s="7" t="s">
        <v>4802</v>
      </c>
      <c r="G492" s="7" t="str">
        <f>"13/15"</f>
        <v>13/15</v>
      </c>
      <c r="H492" s="7" t="str">
        <f>"30175"</f>
        <v>30175</v>
      </c>
      <c r="I492" s="7" t="s">
        <v>13</v>
      </c>
      <c r="J492" s="7" t="s">
        <v>925</v>
      </c>
      <c r="K492" s="7" t="s">
        <v>14</v>
      </c>
    </row>
    <row r="493" spans="1:11" x14ac:dyDescent="0.3">
      <c r="A493" s="7">
        <v>490</v>
      </c>
      <c r="B493" s="7" t="s">
        <v>4961</v>
      </c>
      <c r="C493" s="7" t="s">
        <v>4962</v>
      </c>
      <c r="D493" s="7" t="s">
        <v>3912</v>
      </c>
      <c r="E493" s="7" t="s">
        <v>383</v>
      </c>
      <c r="F493" s="7" t="s">
        <v>4963</v>
      </c>
      <c r="G493" s="7" t="str">
        <f>"32/B"</f>
        <v>32/B</v>
      </c>
      <c r="H493" s="7" t="str">
        <f>"30100"</f>
        <v>30100</v>
      </c>
      <c r="I493" s="7" t="s">
        <v>13</v>
      </c>
      <c r="J493" s="7" t="s">
        <v>925</v>
      </c>
      <c r="K493" s="7" t="s">
        <v>14</v>
      </c>
    </row>
    <row r="494" spans="1:11" x14ac:dyDescent="0.3">
      <c r="A494" s="7">
        <v>491</v>
      </c>
      <c r="B494" s="7" t="s">
        <v>4964</v>
      </c>
      <c r="C494" s="7" t="s">
        <v>4965</v>
      </c>
      <c r="D494" s="7" t="s">
        <v>3912</v>
      </c>
      <c r="E494" s="7" t="s">
        <v>383</v>
      </c>
      <c r="F494" s="7" t="s">
        <v>4628</v>
      </c>
      <c r="G494" s="7" t="str">
        <f>"5731"</f>
        <v>5731</v>
      </c>
      <c r="H494" s="7" t="str">
        <f>"30122"</f>
        <v>30122</v>
      </c>
      <c r="I494" s="7" t="s">
        <v>13</v>
      </c>
      <c r="J494" s="7" t="s">
        <v>925</v>
      </c>
      <c r="K494" s="7" t="s">
        <v>43</v>
      </c>
    </row>
    <row r="495" spans="1:11" x14ac:dyDescent="0.3">
      <c r="A495" s="10">
        <v>492</v>
      </c>
      <c r="B495" s="10" t="s">
        <v>4966</v>
      </c>
      <c r="C495" s="10" t="s">
        <v>4967</v>
      </c>
      <c r="D495" s="10" t="s">
        <v>3912</v>
      </c>
      <c r="E495" s="10" t="s">
        <v>383</v>
      </c>
      <c r="F495" s="10" t="s">
        <v>4583</v>
      </c>
      <c r="G495" s="10" t="str">
        <f>"23/D"</f>
        <v>23/D</v>
      </c>
      <c r="H495" s="10" t="str">
        <f>"30172"</f>
        <v>30172</v>
      </c>
      <c r="I495" s="10" t="s">
        <v>13</v>
      </c>
      <c r="J495" s="10" t="s">
        <v>926</v>
      </c>
      <c r="K495" s="10" t="s">
        <v>20</v>
      </c>
    </row>
    <row r="496" spans="1:11" x14ac:dyDescent="0.3">
      <c r="A496" s="7">
        <v>493</v>
      </c>
      <c r="B496" s="7" t="s">
        <v>4968</v>
      </c>
      <c r="C496" s="7" t="s">
        <v>4969</v>
      </c>
      <c r="D496" s="7" t="s">
        <v>3912</v>
      </c>
      <c r="E496" s="7" t="s">
        <v>383</v>
      </c>
      <c r="F496" s="7" t="s">
        <v>4970</v>
      </c>
      <c r="G496" s="7" t="str">
        <f>"75"</f>
        <v>75</v>
      </c>
      <c r="H496" s="7" t="str">
        <f>"30141"</f>
        <v>30141</v>
      </c>
      <c r="I496" s="7" t="s">
        <v>13</v>
      </c>
      <c r="J496" s="7" t="s">
        <v>925</v>
      </c>
      <c r="K496" s="7" t="s">
        <v>14</v>
      </c>
    </row>
    <row r="497" spans="1:11" x14ac:dyDescent="0.3">
      <c r="A497" s="7">
        <v>494</v>
      </c>
      <c r="B497" s="7" t="s">
        <v>4971</v>
      </c>
      <c r="C497" s="7">
        <v>8</v>
      </c>
      <c r="D497" s="7" t="s">
        <v>3912</v>
      </c>
      <c r="E497" s="7" t="s">
        <v>383</v>
      </c>
      <c r="F497" s="7" t="s">
        <v>4571</v>
      </c>
      <c r="G497" s="7" t="str">
        <f>"33"</f>
        <v>33</v>
      </c>
      <c r="H497" s="7" t="str">
        <f>"30174"</f>
        <v>30174</v>
      </c>
      <c r="I497" s="7" t="s">
        <v>13</v>
      </c>
      <c r="J497" s="7" t="s">
        <v>925</v>
      </c>
      <c r="K497" s="7" t="s">
        <v>14</v>
      </c>
    </row>
    <row r="498" spans="1:11" x14ac:dyDescent="0.3">
      <c r="A498" s="7">
        <v>495</v>
      </c>
      <c r="B498" s="7" t="s">
        <v>4972</v>
      </c>
      <c r="C498" s="7" t="s">
        <v>4973</v>
      </c>
      <c r="D498" s="7" t="s">
        <v>3912</v>
      </c>
      <c r="E498" s="7" t="s">
        <v>383</v>
      </c>
      <c r="F498" s="7" t="s">
        <v>4974</v>
      </c>
      <c r="G498" s="7" t="str">
        <f>"4"</f>
        <v>4</v>
      </c>
      <c r="H498" s="7" t="str">
        <f>"30175"</f>
        <v>30175</v>
      </c>
      <c r="I498" s="7" t="s">
        <v>13</v>
      </c>
      <c r="J498" s="7" t="s">
        <v>925</v>
      </c>
      <c r="K498" s="7" t="s">
        <v>254</v>
      </c>
    </row>
    <row r="499" spans="1:11" x14ac:dyDescent="0.3">
      <c r="A499" s="7">
        <v>496</v>
      </c>
      <c r="B499" s="7" t="s">
        <v>4975</v>
      </c>
      <c r="C499" s="7" t="s">
        <v>4976</v>
      </c>
      <c r="D499" s="7" t="s">
        <v>3912</v>
      </c>
      <c r="E499" s="7" t="s">
        <v>383</v>
      </c>
      <c r="F499" s="7" t="s">
        <v>260</v>
      </c>
      <c r="G499" s="7" t="str">
        <f>"7"</f>
        <v>7</v>
      </c>
      <c r="H499" s="7" t="str">
        <f>"30175"</f>
        <v>30175</v>
      </c>
      <c r="I499" s="7" t="s">
        <v>13</v>
      </c>
      <c r="J499" s="7" t="s">
        <v>925</v>
      </c>
      <c r="K499" s="7" t="s">
        <v>165</v>
      </c>
    </row>
    <row r="500" spans="1:11" x14ac:dyDescent="0.3">
      <c r="A500" s="21">
        <v>497</v>
      </c>
      <c r="B500" s="21" t="s">
        <v>1105</v>
      </c>
      <c r="C500" s="21" t="s">
        <v>4977</v>
      </c>
      <c r="D500" s="21" t="s">
        <v>3912</v>
      </c>
      <c r="E500" s="21" t="s">
        <v>383</v>
      </c>
      <c r="F500" s="21" t="s">
        <v>4684</v>
      </c>
      <c r="G500" s="21" t="str">
        <f>"3901"</f>
        <v>3901</v>
      </c>
      <c r="H500" s="21" t="str">
        <f>"30123"</f>
        <v>30123</v>
      </c>
      <c r="I500" s="21" t="s">
        <v>13</v>
      </c>
      <c r="J500" s="21" t="s">
        <v>924</v>
      </c>
      <c r="K500" s="21" t="s">
        <v>14</v>
      </c>
    </row>
    <row r="501" spans="1:11" x14ac:dyDescent="0.3">
      <c r="A501" s="21">
        <v>498</v>
      </c>
      <c r="B501" s="21" t="s">
        <v>1105</v>
      </c>
      <c r="C501" s="21" t="s">
        <v>4978</v>
      </c>
      <c r="D501" s="21" t="s">
        <v>3912</v>
      </c>
      <c r="E501" s="21" t="s">
        <v>383</v>
      </c>
      <c r="F501" s="21" t="s">
        <v>4979</v>
      </c>
      <c r="G501" s="21" t="str">
        <f>"2322"</f>
        <v>2322</v>
      </c>
      <c r="H501" s="21" t="str">
        <f>"30124"</f>
        <v>30124</v>
      </c>
      <c r="I501" s="21" t="s">
        <v>13</v>
      </c>
      <c r="J501" s="21" t="s">
        <v>924</v>
      </c>
      <c r="K501" s="21" t="s">
        <v>14</v>
      </c>
    </row>
    <row r="502" spans="1:11" x14ac:dyDescent="0.3">
      <c r="A502" s="8">
        <v>499</v>
      </c>
      <c r="B502" s="8" t="s">
        <v>4980</v>
      </c>
      <c r="C502" s="8" t="s">
        <v>4981</v>
      </c>
      <c r="D502" s="8" t="s">
        <v>3912</v>
      </c>
      <c r="E502" s="8" t="s">
        <v>383</v>
      </c>
      <c r="F502" s="8" t="s">
        <v>4792</v>
      </c>
      <c r="G502" s="8" t="str">
        <f>"18"</f>
        <v>18</v>
      </c>
      <c r="H502" s="8" t="str">
        <f>"30126"</f>
        <v>30126</v>
      </c>
      <c r="I502" s="8" t="s">
        <v>13</v>
      </c>
      <c r="J502" s="8" t="s">
        <v>927</v>
      </c>
      <c r="K502" s="8" t="s">
        <v>14</v>
      </c>
    </row>
    <row r="503" spans="1:11" x14ac:dyDescent="0.3">
      <c r="A503" s="10">
        <v>500</v>
      </c>
      <c r="B503" s="10" t="s">
        <v>4982</v>
      </c>
      <c r="C503" s="10" t="s">
        <v>4983</v>
      </c>
      <c r="D503" s="10" t="s">
        <v>3912</v>
      </c>
      <c r="E503" s="10" t="s">
        <v>383</v>
      </c>
      <c r="F503" s="10" t="s">
        <v>3409</v>
      </c>
      <c r="G503" s="10" t="str">
        <f>"11"</f>
        <v>11</v>
      </c>
      <c r="H503" s="10" t="str">
        <f>"30171"</f>
        <v>30171</v>
      </c>
      <c r="I503" s="10" t="s">
        <v>13</v>
      </c>
      <c r="J503" s="10" t="s">
        <v>926</v>
      </c>
      <c r="K503" s="10" t="s">
        <v>20</v>
      </c>
    </row>
    <row r="504" spans="1:11" x14ac:dyDescent="0.3">
      <c r="A504" s="7">
        <v>501</v>
      </c>
      <c r="B504" s="7" t="s">
        <v>4984</v>
      </c>
      <c r="C504" s="7" t="s">
        <v>4985</v>
      </c>
      <c r="D504" s="7" t="s">
        <v>3912</v>
      </c>
      <c r="E504" s="7" t="s">
        <v>383</v>
      </c>
      <c r="F504" s="7" t="s">
        <v>4986</v>
      </c>
      <c r="G504" s="7" t="str">
        <f>"4227"</f>
        <v>4227</v>
      </c>
      <c r="H504" s="7" t="str">
        <f>"30121"</f>
        <v>30121</v>
      </c>
      <c r="I504" s="7" t="s">
        <v>13</v>
      </c>
      <c r="J504" s="7" t="s">
        <v>925</v>
      </c>
      <c r="K504" s="7" t="s">
        <v>14</v>
      </c>
    </row>
    <row r="505" spans="1:11" x14ac:dyDescent="0.3">
      <c r="A505" s="7">
        <v>502</v>
      </c>
      <c r="B505" s="7" t="s">
        <v>4987</v>
      </c>
      <c r="C505" s="7" t="s">
        <v>4988</v>
      </c>
      <c r="D505" s="7" t="s">
        <v>3912</v>
      </c>
      <c r="E505" s="7" t="s">
        <v>383</v>
      </c>
      <c r="F505" s="7" t="s">
        <v>4989</v>
      </c>
      <c r="G505" s="7" t="str">
        <f>"45"</f>
        <v>45</v>
      </c>
      <c r="H505" s="7" t="str">
        <f>"30175"</f>
        <v>30175</v>
      </c>
      <c r="I505" s="7" t="s">
        <v>13</v>
      </c>
      <c r="J505" s="7" t="s">
        <v>925</v>
      </c>
      <c r="K505" s="7" t="s">
        <v>14</v>
      </c>
    </row>
    <row r="506" spans="1:11" x14ac:dyDescent="0.3">
      <c r="A506" s="8">
        <v>503</v>
      </c>
      <c r="B506" s="8" t="s">
        <v>4990</v>
      </c>
      <c r="C506" s="8" t="s">
        <v>4991</v>
      </c>
      <c r="D506" s="8" t="s">
        <v>3912</v>
      </c>
      <c r="E506" s="8" t="s">
        <v>383</v>
      </c>
      <c r="F506" s="8" t="s">
        <v>4486</v>
      </c>
      <c r="G506" s="8" t="str">
        <f>"136"</f>
        <v>136</v>
      </c>
      <c r="H506" s="8" t="str">
        <f>"30175"</f>
        <v>30175</v>
      </c>
      <c r="I506" s="8" t="s">
        <v>13</v>
      </c>
      <c r="J506" s="8" t="s">
        <v>927</v>
      </c>
      <c r="K506" s="8" t="s">
        <v>4992</v>
      </c>
    </row>
    <row r="507" spans="1:11" x14ac:dyDescent="0.3">
      <c r="A507" s="8">
        <v>504</v>
      </c>
      <c r="B507" s="8" t="s">
        <v>4993</v>
      </c>
      <c r="C507" s="8" t="s">
        <v>4994</v>
      </c>
      <c r="D507" s="8" t="s">
        <v>3912</v>
      </c>
      <c r="E507" s="8" t="s">
        <v>383</v>
      </c>
      <c r="F507" s="8" t="s">
        <v>29</v>
      </c>
      <c r="G507" s="8" t="str">
        <f>"F1/F2"</f>
        <v>F1/F2</v>
      </c>
      <c r="H507" s="8" t="str">
        <f>"30175"</f>
        <v>30175</v>
      </c>
      <c r="I507" s="8" t="s">
        <v>13</v>
      </c>
      <c r="J507" s="8" t="s">
        <v>927</v>
      </c>
      <c r="K507" s="8" t="s">
        <v>205</v>
      </c>
    </row>
    <row r="508" spans="1:11" x14ac:dyDescent="0.3">
      <c r="A508" s="20">
        <v>505</v>
      </c>
      <c r="B508" s="20" t="s">
        <v>4995</v>
      </c>
      <c r="C508" s="20" t="s">
        <v>4996</v>
      </c>
      <c r="D508" s="20" t="s">
        <v>3912</v>
      </c>
      <c r="E508" s="20" t="s">
        <v>383</v>
      </c>
      <c r="F508" s="20" t="s">
        <v>4520</v>
      </c>
      <c r="G508" s="20" t="str">
        <f>"190/B"</f>
        <v>190/B</v>
      </c>
      <c r="H508" s="20" t="str">
        <f>"30135"</f>
        <v>30135</v>
      </c>
      <c r="I508" s="20" t="s">
        <v>13</v>
      </c>
      <c r="J508" s="20" t="s">
        <v>928</v>
      </c>
      <c r="K508" s="20" t="s">
        <v>43</v>
      </c>
    </row>
    <row r="509" spans="1:11" x14ac:dyDescent="0.3">
      <c r="A509" s="10">
        <v>506</v>
      </c>
      <c r="B509" s="10" t="s">
        <v>4997</v>
      </c>
      <c r="C509" s="10" t="s">
        <v>4998</v>
      </c>
      <c r="D509" s="10" t="s">
        <v>3912</v>
      </c>
      <c r="E509" s="10" t="s">
        <v>383</v>
      </c>
      <c r="F509" s="10" t="s">
        <v>4544</v>
      </c>
      <c r="G509" s="10" t="str">
        <f>"3658"</f>
        <v>3658</v>
      </c>
      <c r="H509" s="10" t="str">
        <f>"30124"</f>
        <v>30124</v>
      </c>
      <c r="I509" s="10" t="s">
        <v>13</v>
      </c>
      <c r="J509" s="10" t="s">
        <v>926</v>
      </c>
      <c r="K509" s="10" t="s">
        <v>43</v>
      </c>
    </row>
    <row r="510" spans="1:11" x14ac:dyDescent="0.3">
      <c r="A510" s="10">
        <v>507</v>
      </c>
      <c r="B510" s="10" t="s">
        <v>4999</v>
      </c>
      <c r="C510" s="10" t="s">
        <v>5000</v>
      </c>
      <c r="D510" s="10" t="s">
        <v>3912</v>
      </c>
      <c r="E510" s="10" t="s">
        <v>383</v>
      </c>
      <c r="F510" s="10" t="s">
        <v>5001</v>
      </c>
      <c r="G510" s="10" t="str">
        <f>"70"</f>
        <v>70</v>
      </c>
      <c r="H510" s="10" t="str">
        <f>"30173"</f>
        <v>30173</v>
      </c>
      <c r="I510" s="10" t="s">
        <v>13</v>
      </c>
      <c r="J510" s="10" t="s">
        <v>926</v>
      </c>
      <c r="K510" s="10" t="s">
        <v>20</v>
      </c>
    </row>
    <row r="511" spans="1:11" x14ac:dyDescent="0.3">
      <c r="A511" s="7">
        <v>508</v>
      </c>
      <c r="B511" s="7" t="s">
        <v>5002</v>
      </c>
      <c r="C511" s="7" t="s">
        <v>5003</v>
      </c>
      <c r="D511" s="7" t="s">
        <v>3912</v>
      </c>
      <c r="E511" s="7" t="s">
        <v>383</v>
      </c>
      <c r="F511" s="7" t="s">
        <v>461</v>
      </c>
      <c r="G511" s="7" t="str">
        <f>"211"</f>
        <v>211</v>
      </c>
      <c r="H511" s="7" t="str">
        <f>"30174"</f>
        <v>30174</v>
      </c>
      <c r="I511" s="7" t="s">
        <v>13</v>
      </c>
      <c r="J511" s="7" t="s">
        <v>925</v>
      </c>
      <c r="K511" s="7" t="s">
        <v>27</v>
      </c>
    </row>
    <row r="512" spans="1:11" x14ac:dyDescent="0.3">
      <c r="A512" s="7">
        <v>509</v>
      </c>
      <c r="B512" s="7" t="s">
        <v>5004</v>
      </c>
      <c r="C512" s="7" t="s">
        <v>5005</v>
      </c>
      <c r="D512" s="7" t="s">
        <v>3912</v>
      </c>
      <c r="E512" s="7" t="s">
        <v>383</v>
      </c>
      <c r="F512" s="7" t="s">
        <v>5006</v>
      </c>
      <c r="G512" s="7" t="str">
        <f>"5424/A"</f>
        <v>5424/A</v>
      </c>
      <c r="H512" s="7" t="str">
        <f>"30124"</f>
        <v>30124</v>
      </c>
      <c r="I512" s="7" t="s">
        <v>13</v>
      </c>
      <c r="J512" s="7" t="s">
        <v>925</v>
      </c>
      <c r="K512" s="7" t="s">
        <v>14</v>
      </c>
    </row>
    <row r="513" spans="1:11" x14ac:dyDescent="0.3">
      <c r="A513" s="8">
        <v>510</v>
      </c>
      <c r="B513" s="8" t="s">
        <v>5007</v>
      </c>
      <c r="C513" s="8" t="s">
        <v>5008</v>
      </c>
      <c r="D513" s="8" t="s">
        <v>3912</v>
      </c>
      <c r="E513" s="8" t="s">
        <v>383</v>
      </c>
      <c r="F513" s="8" t="s">
        <v>4896</v>
      </c>
      <c r="G513" s="8" t="str">
        <f>"14"</f>
        <v>14</v>
      </c>
      <c r="H513" s="8" t="str">
        <f>"30174"</f>
        <v>30174</v>
      </c>
      <c r="I513" s="8" t="s">
        <v>13</v>
      </c>
      <c r="J513" s="8" t="s">
        <v>927</v>
      </c>
      <c r="K513" s="8" t="s">
        <v>20</v>
      </c>
    </row>
    <row r="514" spans="1:11" x14ac:dyDescent="0.3">
      <c r="A514" s="10">
        <v>511</v>
      </c>
      <c r="B514" s="10" t="s">
        <v>5009</v>
      </c>
      <c r="C514" s="10" t="s">
        <v>5010</v>
      </c>
      <c r="D514" s="10" t="s">
        <v>3912</v>
      </c>
      <c r="E514" s="10" t="s">
        <v>383</v>
      </c>
      <c r="F514" s="10" t="s">
        <v>4544</v>
      </c>
      <c r="G514" s="10" t="str">
        <f>"3528"</f>
        <v>3528</v>
      </c>
      <c r="H514" s="10" t="str">
        <f>"30124"</f>
        <v>30124</v>
      </c>
      <c r="I514" s="10" t="s">
        <v>13</v>
      </c>
      <c r="J514" s="10" t="s">
        <v>926</v>
      </c>
      <c r="K514" s="10" t="s">
        <v>14</v>
      </c>
    </row>
    <row r="515" spans="1:11" x14ac:dyDescent="0.3">
      <c r="A515" s="8">
        <v>512</v>
      </c>
      <c r="B515" s="8" t="s">
        <v>5011</v>
      </c>
      <c r="C515" s="8" t="s">
        <v>119</v>
      </c>
      <c r="D515" s="8" t="s">
        <v>3912</v>
      </c>
      <c r="E515" s="8" t="s">
        <v>383</v>
      </c>
      <c r="F515" s="8" t="s">
        <v>4629</v>
      </c>
      <c r="G515" s="8" t="str">
        <f>"2605/A-B"</f>
        <v>2605/A-B</v>
      </c>
      <c r="H515" s="8" t="str">
        <f>"30125"</f>
        <v>30125</v>
      </c>
      <c r="I515" s="8" t="s">
        <v>13</v>
      </c>
      <c r="J515" s="8" t="s">
        <v>927</v>
      </c>
      <c r="K515" s="8" t="s">
        <v>14</v>
      </c>
    </row>
    <row r="516" spans="1:11" x14ac:dyDescent="0.3">
      <c r="A516" s="8">
        <v>513</v>
      </c>
      <c r="B516" s="8" t="s">
        <v>5011</v>
      </c>
      <c r="C516" s="8" t="s">
        <v>119</v>
      </c>
      <c r="D516" s="8" t="s">
        <v>3912</v>
      </c>
      <c r="E516" s="8" t="s">
        <v>383</v>
      </c>
      <c r="F516" s="8" t="s">
        <v>4520</v>
      </c>
      <c r="G516" s="8" t="str">
        <f>"892"</f>
        <v>892</v>
      </c>
      <c r="H516" s="8" t="str">
        <f>"30135"</f>
        <v>30135</v>
      </c>
      <c r="I516" s="8" t="s">
        <v>13</v>
      </c>
      <c r="J516" s="8" t="s">
        <v>927</v>
      </c>
      <c r="K516" s="8" t="s">
        <v>14</v>
      </c>
    </row>
    <row r="517" spans="1:11" x14ac:dyDescent="0.3">
      <c r="A517" s="8">
        <v>514</v>
      </c>
      <c r="B517" s="8" t="s">
        <v>2619</v>
      </c>
      <c r="C517" s="8" t="s">
        <v>2620</v>
      </c>
      <c r="D517" s="8" t="s">
        <v>3912</v>
      </c>
      <c r="E517" s="8" t="s">
        <v>383</v>
      </c>
      <c r="F517" s="8" t="s">
        <v>5012</v>
      </c>
      <c r="G517" s="8" t="str">
        <f>"10"</f>
        <v>10</v>
      </c>
      <c r="H517" s="8" t="str">
        <f>"30173"</f>
        <v>30173</v>
      </c>
      <c r="I517" s="8" t="s">
        <v>13</v>
      </c>
      <c r="J517" s="8" t="s">
        <v>927</v>
      </c>
      <c r="K517" s="8" t="s">
        <v>20</v>
      </c>
    </row>
    <row r="518" spans="1:11" x14ac:dyDescent="0.3">
      <c r="A518" s="8">
        <v>515</v>
      </c>
      <c r="B518" s="8" t="s">
        <v>2619</v>
      </c>
      <c r="C518" s="8" t="s">
        <v>2620</v>
      </c>
      <c r="D518" s="8" t="s">
        <v>3912</v>
      </c>
      <c r="E518" s="8" t="s">
        <v>383</v>
      </c>
      <c r="F518" s="8" t="s">
        <v>5013</v>
      </c>
      <c r="G518" s="8" t="str">
        <f>"20/21"</f>
        <v>20/21</v>
      </c>
      <c r="H518" s="8" t="str">
        <f>"30174"</f>
        <v>30174</v>
      </c>
      <c r="I518" s="8" t="s">
        <v>13</v>
      </c>
      <c r="J518" s="8" t="s">
        <v>927</v>
      </c>
      <c r="K518" s="8" t="s">
        <v>20</v>
      </c>
    </row>
    <row r="519" spans="1:11" x14ac:dyDescent="0.3">
      <c r="A519" s="8">
        <v>516</v>
      </c>
      <c r="B519" s="8" t="s">
        <v>2619</v>
      </c>
      <c r="C519" s="8" t="s">
        <v>2620</v>
      </c>
      <c r="D519" s="8" t="s">
        <v>3912</v>
      </c>
      <c r="E519" s="8" t="s">
        <v>383</v>
      </c>
      <c r="F519" s="8" t="s">
        <v>1967</v>
      </c>
      <c r="G519" s="8" t="str">
        <f>"102"</f>
        <v>102</v>
      </c>
      <c r="H519" s="8" t="str">
        <f>"30172"</f>
        <v>30172</v>
      </c>
      <c r="I519" s="8" t="s">
        <v>13</v>
      </c>
      <c r="J519" s="8" t="s">
        <v>927</v>
      </c>
      <c r="K519" s="8" t="s">
        <v>20</v>
      </c>
    </row>
    <row r="520" spans="1:11" x14ac:dyDescent="0.3">
      <c r="A520" s="8">
        <v>517</v>
      </c>
      <c r="B520" s="8" t="s">
        <v>2619</v>
      </c>
      <c r="C520" s="8" t="s">
        <v>2620</v>
      </c>
      <c r="D520" s="8" t="s">
        <v>3912</v>
      </c>
      <c r="E520" s="8" t="s">
        <v>383</v>
      </c>
      <c r="F520" s="8" t="s">
        <v>4139</v>
      </c>
      <c r="G520" s="8" t="str">
        <f>"152"</f>
        <v>152</v>
      </c>
      <c r="H520" s="8" t="str">
        <f>"30173"</f>
        <v>30173</v>
      </c>
      <c r="I520" s="8" t="s">
        <v>13</v>
      </c>
      <c r="J520" s="8" t="s">
        <v>927</v>
      </c>
      <c r="K520" s="8" t="s">
        <v>20</v>
      </c>
    </row>
    <row r="521" spans="1:11" x14ac:dyDescent="0.3">
      <c r="A521" s="8">
        <v>518</v>
      </c>
      <c r="B521" s="8" t="s">
        <v>2619</v>
      </c>
      <c r="C521" s="8" t="s">
        <v>2620</v>
      </c>
      <c r="D521" s="8" t="s">
        <v>3912</v>
      </c>
      <c r="E521" s="8" t="s">
        <v>383</v>
      </c>
      <c r="F521" s="8" t="s">
        <v>4230</v>
      </c>
      <c r="G521" s="8" t="str">
        <f>"256"</f>
        <v>256</v>
      </c>
      <c r="H521" s="8" t="str">
        <f>"30174"</f>
        <v>30174</v>
      </c>
      <c r="I521" s="8" t="s">
        <v>13</v>
      </c>
      <c r="J521" s="8" t="s">
        <v>927</v>
      </c>
      <c r="K521" s="8" t="s">
        <v>20</v>
      </c>
    </row>
    <row r="522" spans="1:11" x14ac:dyDescent="0.3">
      <c r="A522" s="10">
        <v>519</v>
      </c>
      <c r="B522" s="10" t="s">
        <v>5014</v>
      </c>
      <c r="C522" s="10" t="s">
        <v>5015</v>
      </c>
      <c r="D522" s="10" t="s">
        <v>3912</v>
      </c>
      <c r="E522" s="10" t="s">
        <v>383</v>
      </c>
      <c r="F522" s="10" t="s">
        <v>3584</v>
      </c>
      <c r="G522" s="10" t="str">
        <f>"10"</f>
        <v>10</v>
      </c>
      <c r="H522" s="10" t="str">
        <f>"30175"</f>
        <v>30175</v>
      </c>
      <c r="I522" s="10" t="s">
        <v>13</v>
      </c>
      <c r="J522" s="10" t="s">
        <v>926</v>
      </c>
      <c r="K522" s="10" t="s">
        <v>43</v>
      </c>
    </row>
    <row r="523" spans="1:11" x14ac:dyDescent="0.3">
      <c r="A523" s="10">
        <v>520</v>
      </c>
      <c r="B523" s="10" t="s">
        <v>1498</v>
      </c>
      <c r="C523" s="10" t="s">
        <v>5016</v>
      </c>
      <c r="D523" s="10" t="s">
        <v>3912</v>
      </c>
      <c r="E523" s="10" t="s">
        <v>383</v>
      </c>
      <c r="F523" s="10" t="s">
        <v>4520</v>
      </c>
      <c r="G523" s="10" t="str">
        <f>"745/A"</f>
        <v>745/A</v>
      </c>
      <c r="H523" s="10" t="str">
        <f>"30135"</f>
        <v>30135</v>
      </c>
      <c r="I523" s="10" t="s">
        <v>13</v>
      </c>
      <c r="J523" s="10" t="s">
        <v>926</v>
      </c>
      <c r="K523" s="10" t="s">
        <v>14</v>
      </c>
    </row>
    <row r="524" spans="1:11" x14ac:dyDescent="0.3">
      <c r="A524" s="10">
        <v>521</v>
      </c>
      <c r="B524" s="10" t="s">
        <v>5017</v>
      </c>
      <c r="C524" s="10" t="s">
        <v>5018</v>
      </c>
      <c r="D524" s="10" t="s">
        <v>3912</v>
      </c>
      <c r="E524" s="10" t="s">
        <v>383</v>
      </c>
      <c r="F524" s="10" t="s">
        <v>5019</v>
      </c>
      <c r="G524" s="10" t="str">
        <f>"1/B"</f>
        <v>1/B</v>
      </c>
      <c r="H524" s="10" t="str">
        <f>"30174"</f>
        <v>30174</v>
      </c>
      <c r="I524" s="10" t="s">
        <v>13</v>
      </c>
      <c r="J524" s="10" t="s">
        <v>926</v>
      </c>
      <c r="K524" s="10" t="s">
        <v>43</v>
      </c>
    </row>
    <row r="525" spans="1:11" x14ac:dyDescent="0.3">
      <c r="A525" s="7">
        <v>522</v>
      </c>
      <c r="B525" s="7" t="s">
        <v>1596</v>
      </c>
      <c r="C525" s="7" t="s">
        <v>5020</v>
      </c>
      <c r="D525" s="7" t="s">
        <v>3912</v>
      </c>
      <c r="E525" s="7" t="s">
        <v>383</v>
      </c>
      <c r="F525" s="7" t="s">
        <v>4529</v>
      </c>
      <c r="G525" s="7" t="str">
        <f>"11"</f>
        <v>11</v>
      </c>
      <c r="H525" s="7" t="str">
        <f>"30174"</f>
        <v>30174</v>
      </c>
      <c r="I525" s="7" t="s">
        <v>13</v>
      </c>
      <c r="J525" s="7" t="s">
        <v>925</v>
      </c>
      <c r="K525" s="7" t="s">
        <v>14</v>
      </c>
    </row>
    <row r="526" spans="1:11" x14ac:dyDescent="0.3">
      <c r="A526" s="7">
        <v>523</v>
      </c>
      <c r="B526" s="7" t="s">
        <v>5021</v>
      </c>
      <c r="C526" s="7" t="s">
        <v>5022</v>
      </c>
      <c r="D526" s="7" t="s">
        <v>3912</v>
      </c>
      <c r="E526" s="7" t="s">
        <v>383</v>
      </c>
      <c r="F526" s="7" t="s">
        <v>5023</v>
      </c>
      <c r="G526" s="7" t="str">
        <f>"4720"</f>
        <v>4720</v>
      </c>
      <c r="H526" s="7" t="str">
        <f>"30124"</f>
        <v>30124</v>
      </c>
      <c r="I526" s="7" t="s">
        <v>13</v>
      </c>
      <c r="J526" s="7" t="s">
        <v>925</v>
      </c>
      <c r="K526" s="7" t="s">
        <v>224</v>
      </c>
    </row>
    <row r="527" spans="1:11" x14ac:dyDescent="0.3">
      <c r="A527" s="8">
        <v>524</v>
      </c>
      <c r="B527" s="8" t="s">
        <v>5024</v>
      </c>
      <c r="C527" s="8" t="s">
        <v>5024</v>
      </c>
      <c r="D527" s="8" t="s">
        <v>3912</v>
      </c>
      <c r="E527" s="8" t="s">
        <v>383</v>
      </c>
      <c r="F527" s="8" t="s">
        <v>4230</v>
      </c>
      <c r="G527" s="8" t="str">
        <f>"411/A"</f>
        <v>411/A</v>
      </c>
      <c r="H527" s="8" t="str">
        <f>"30174"</f>
        <v>30174</v>
      </c>
      <c r="I527" s="8" t="s">
        <v>13</v>
      </c>
      <c r="J527" s="8" t="s">
        <v>927</v>
      </c>
      <c r="K527" s="8" t="s">
        <v>20</v>
      </c>
    </row>
    <row r="528" spans="1:11" x14ac:dyDescent="0.3">
      <c r="A528" s="7">
        <v>525</v>
      </c>
      <c r="B528" s="7" t="s">
        <v>5025</v>
      </c>
      <c r="C528" s="7" t="s">
        <v>5026</v>
      </c>
      <c r="D528" s="7" t="s">
        <v>3912</v>
      </c>
      <c r="E528" s="7" t="s">
        <v>383</v>
      </c>
      <c r="F528" s="7" t="s">
        <v>2595</v>
      </c>
      <c r="G528" s="7" t="str">
        <f>"147"</f>
        <v>147</v>
      </c>
      <c r="H528" s="7" t="str">
        <f>"30174"</f>
        <v>30174</v>
      </c>
      <c r="I528" s="7" t="s">
        <v>13</v>
      </c>
      <c r="J528" s="7" t="s">
        <v>925</v>
      </c>
      <c r="K528" s="7" t="s">
        <v>14</v>
      </c>
    </row>
    <row r="529" spans="1:11" x14ac:dyDescent="0.3">
      <c r="A529" s="8">
        <v>526</v>
      </c>
      <c r="B529" s="8" t="s">
        <v>1502</v>
      </c>
      <c r="C529" s="8" t="s">
        <v>709</v>
      </c>
      <c r="D529" s="8" t="s">
        <v>3912</v>
      </c>
      <c r="E529" s="8" t="s">
        <v>383</v>
      </c>
      <c r="F529" s="8" t="s">
        <v>5027</v>
      </c>
      <c r="G529" s="8" t="str">
        <f>"43/A"</f>
        <v>43/A</v>
      </c>
      <c r="H529" s="8" t="str">
        <f>"30173"</f>
        <v>30173</v>
      </c>
      <c r="I529" s="8" t="s">
        <v>13</v>
      </c>
      <c r="J529" s="8" t="s">
        <v>927</v>
      </c>
      <c r="K529" s="8" t="s">
        <v>195</v>
      </c>
    </row>
    <row r="530" spans="1:11" x14ac:dyDescent="0.3">
      <c r="A530" s="7">
        <v>527</v>
      </c>
      <c r="B530" s="7" t="s">
        <v>5028</v>
      </c>
      <c r="C530" s="7" t="s">
        <v>5029</v>
      </c>
      <c r="D530" s="7" t="s">
        <v>3912</v>
      </c>
      <c r="E530" s="7" t="s">
        <v>383</v>
      </c>
      <c r="F530" s="7" t="s">
        <v>4851</v>
      </c>
      <c r="G530" s="7" t="str">
        <f>"18"</f>
        <v>18</v>
      </c>
      <c r="H530" s="7" t="str">
        <f>"30172"</f>
        <v>30172</v>
      </c>
      <c r="I530" s="7" t="s">
        <v>13</v>
      </c>
      <c r="J530" s="7" t="s">
        <v>925</v>
      </c>
      <c r="K530" s="7" t="s">
        <v>14</v>
      </c>
    </row>
    <row r="531" spans="1:11" x14ac:dyDescent="0.3">
      <c r="A531" s="8">
        <v>528</v>
      </c>
      <c r="B531" s="8" t="s">
        <v>5030</v>
      </c>
      <c r="C531" s="8" t="s">
        <v>5031</v>
      </c>
      <c r="D531" s="8" t="s">
        <v>3912</v>
      </c>
      <c r="E531" s="8" t="s">
        <v>383</v>
      </c>
      <c r="F531" s="8" t="s">
        <v>5032</v>
      </c>
      <c r="G531" s="8" t="str">
        <f>"106"</f>
        <v>106</v>
      </c>
      <c r="H531" s="8" t="str">
        <f>"30141"</f>
        <v>30141</v>
      </c>
      <c r="I531" s="8" t="s">
        <v>13</v>
      </c>
      <c r="J531" s="8" t="s">
        <v>927</v>
      </c>
      <c r="K531" s="8" t="s">
        <v>3027</v>
      </c>
    </row>
    <row r="532" spans="1:11" x14ac:dyDescent="0.3">
      <c r="A532" s="10">
        <v>529</v>
      </c>
      <c r="B532" s="10" t="s">
        <v>5033</v>
      </c>
      <c r="C532" s="10" t="s">
        <v>5034</v>
      </c>
      <c r="D532" s="10" t="s">
        <v>3912</v>
      </c>
      <c r="E532" s="10" t="s">
        <v>383</v>
      </c>
      <c r="F532" s="10" t="s">
        <v>5035</v>
      </c>
      <c r="G532" s="10" t="str">
        <f>"1176"</f>
        <v>1176</v>
      </c>
      <c r="H532" s="10" t="str">
        <f>"30124"</f>
        <v>30124</v>
      </c>
      <c r="I532" s="10" t="s">
        <v>13</v>
      </c>
      <c r="J532" s="10" t="s">
        <v>926</v>
      </c>
      <c r="K532" s="10" t="s">
        <v>20</v>
      </c>
    </row>
    <row r="533" spans="1:11" x14ac:dyDescent="0.3">
      <c r="A533" s="7">
        <v>530</v>
      </c>
      <c r="B533" s="7" t="s">
        <v>2693</v>
      </c>
      <c r="C533" s="7" t="s">
        <v>5036</v>
      </c>
      <c r="D533" s="7" t="s">
        <v>3912</v>
      </c>
      <c r="E533" s="7" t="s">
        <v>383</v>
      </c>
      <c r="F533" s="7" t="s">
        <v>4684</v>
      </c>
      <c r="G533" s="7" t="str">
        <f>"3246"</f>
        <v>3246</v>
      </c>
      <c r="H533" s="7" t="str">
        <f>"30123"</f>
        <v>30123</v>
      </c>
      <c r="I533" s="7" t="s">
        <v>13</v>
      </c>
      <c r="J533" s="7" t="s">
        <v>925</v>
      </c>
      <c r="K533" s="7" t="s">
        <v>14</v>
      </c>
    </row>
    <row r="534" spans="1:11" x14ac:dyDescent="0.3">
      <c r="A534" s="20">
        <v>531</v>
      </c>
      <c r="B534" s="20" t="s">
        <v>5037</v>
      </c>
      <c r="C534" s="20" t="s">
        <v>5038</v>
      </c>
      <c r="D534" s="20" t="s">
        <v>3912</v>
      </c>
      <c r="E534" s="20" t="s">
        <v>383</v>
      </c>
      <c r="F534" s="20" t="s">
        <v>4139</v>
      </c>
      <c r="G534" s="20" t="str">
        <f>"124/126"</f>
        <v>124/126</v>
      </c>
      <c r="H534" s="20" t="str">
        <f>"30173"</f>
        <v>30173</v>
      </c>
      <c r="I534" s="20" t="s">
        <v>13</v>
      </c>
      <c r="J534" s="20" t="s">
        <v>928</v>
      </c>
      <c r="K534" s="20" t="s">
        <v>58</v>
      </c>
    </row>
    <row r="535" spans="1:11" x14ac:dyDescent="0.3">
      <c r="A535" s="20">
        <v>532</v>
      </c>
      <c r="B535" s="20" t="s">
        <v>5039</v>
      </c>
      <c r="C535" s="20" t="s">
        <v>5040</v>
      </c>
      <c r="D535" s="20" t="s">
        <v>3912</v>
      </c>
      <c r="E535" s="20" t="s">
        <v>383</v>
      </c>
      <c r="F535" s="20" t="s">
        <v>4796</v>
      </c>
      <c r="G535" s="20" t="str">
        <f>"5/A"</f>
        <v>5/A</v>
      </c>
      <c r="H535" s="20" t="str">
        <f>"30175"</f>
        <v>30175</v>
      </c>
      <c r="I535" s="20" t="s">
        <v>13</v>
      </c>
      <c r="J535" s="20" t="s">
        <v>928</v>
      </c>
      <c r="K535" s="20" t="s">
        <v>1701</v>
      </c>
    </row>
    <row r="536" spans="1:11" x14ac:dyDescent="0.3">
      <c r="A536" s="10">
        <v>533</v>
      </c>
      <c r="B536" s="10" t="s">
        <v>5041</v>
      </c>
      <c r="C536" s="10" t="s">
        <v>5042</v>
      </c>
      <c r="D536" s="10" t="s">
        <v>3912</v>
      </c>
      <c r="E536" s="10" t="s">
        <v>383</v>
      </c>
      <c r="F536" s="10" t="s">
        <v>5043</v>
      </c>
      <c r="G536" s="10" t="str">
        <f>"36"</f>
        <v>36</v>
      </c>
      <c r="H536" s="10" t="str">
        <f>"30172"</f>
        <v>30172</v>
      </c>
      <c r="I536" s="10" t="s">
        <v>13</v>
      </c>
      <c r="J536" s="10" t="s">
        <v>926</v>
      </c>
      <c r="K536" s="10" t="s">
        <v>20</v>
      </c>
    </row>
    <row r="537" spans="1:11" x14ac:dyDescent="0.3">
      <c r="A537" s="7">
        <v>534</v>
      </c>
      <c r="B537" s="7" t="s">
        <v>5044</v>
      </c>
      <c r="C537" s="7" t="s">
        <v>5045</v>
      </c>
      <c r="D537" s="7" t="s">
        <v>3912</v>
      </c>
      <c r="E537" s="7" t="s">
        <v>383</v>
      </c>
      <c r="F537" s="7" t="s">
        <v>4492</v>
      </c>
      <c r="G537" s="7" t="str">
        <f>"119"</f>
        <v>119</v>
      </c>
      <c r="H537" s="7" t="str">
        <f>"30173"</f>
        <v>30173</v>
      </c>
      <c r="I537" s="7" t="s">
        <v>13</v>
      </c>
      <c r="J537" s="7" t="s">
        <v>925</v>
      </c>
      <c r="K537" s="7" t="s">
        <v>27</v>
      </c>
    </row>
    <row r="538" spans="1:11" x14ac:dyDescent="0.3">
      <c r="A538" s="7">
        <v>535</v>
      </c>
      <c r="B538" s="7" t="s">
        <v>5046</v>
      </c>
      <c r="C538" s="7" t="s">
        <v>5047</v>
      </c>
      <c r="D538" s="7" t="s">
        <v>3912</v>
      </c>
      <c r="E538" s="7" t="s">
        <v>383</v>
      </c>
      <c r="F538" s="7" t="s">
        <v>5048</v>
      </c>
      <c r="G538" s="7" t="str">
        <f>"30"</f>
        <v>30</v>
      </c>
      <c r="H538" s="7" t="str">
        <f>"30176"</f>
        <v>30176</v>
      </c>
      <c r="I538" s="7" t="s">
        <v>13</v>
      </c>
      <c r="J538" s="7" t="s">
        <v>925</v>
      </c>
      <c r="K538" s="7" t="s">
        <v>58</v>
      </c>
    </row>
    <row r="539" spans="1:11" x14ac:dyDescent="0.3">
      <c r="A539" s="7">
        <v>536</v>
      </c>
      <c r="B539" s="7" t="s">
        <v>5049</v>
      </c>
      <c r="C539" s="7" t="s">
        <v>5050</v>
      </c>
      <c r="D539" s="7" t="s">
        <v>3912</v>
      </c>
      <c r="E539" s="7" t="s">
        <v>383</v>
      </c>
      <c r="F539" s="7" t="s">
        <v>4989</v>
      </c>
      <c r="G539" s="7" t="str">
        <f>"160"</f>
        <v>160</v>
      </c>
      <c r="H539" s="7" t="str">
        <f>"30175"</f>
        <v>30175</v>
      </c>
      <c r="I539" s="7" t="s">
        <v>13</v>
      </c>
      <c r="J539" s="7" t="s">
        <v>925</v>
      </c>
      <c r="K539" s="7" t="s">
        <v>224</v>
      </c>
    </row>
    <row r="540" spans="1:11" x14ac:dyDescent="0.3">
      <c r="A540" s="7">
        <v>537</v>
      </c>
      <c r="B540" s="7" t="s">
        <v>5051</v>
      </c>
      <c r="C540" s="7" t="s">
        <v>5052</v>
      </c>
      <c r="D540" s="7" t="s">
        <v>3912</v>
      </c>
      <c r="E540" s="7" t="s">
        <v>383</v>
      </c>
      <c r="F540" s="7" t="s">
        <v>5053</v>
      </c>
      <c r="G540" s="7" t="str">
        <f>"23"</f>
        <v>23</v>
      </c>
      <c r="H540" s="7" t="str">
        <f>"30172"</f>
        <v>30172</v>
      </c>
      <c r="I540" s="7" t="s">
        <v>13</v>
      </c>
      <c r="J540" s="7" t="s">
        <v>925</v>
      </c>
      <c r="K540" s="7" t="s">
        <v>224</v>
      </c>
    </row>
    <row r="541" spans="1:11" x14ac:dyDescent="0.3">
      <c r="A541" s="7">
        <v>538</v>
      </c>
      <c r="B541" s="7" t="s">
        <v>4243</v>
      </c>
      <c r="C541" s="7" t="s">
        <v>5054</v>
      </c>
      <c r="D541" s="7" t="s">
        <v>3912</v>
      </c>
      <c r="E541" s="7" t="s">
        <v>383</v>
      </c>
      <c r="F541" s="7" t="s">
        <v>4477</v>
      </c>
      <c r="G541" s="7" t="str">
        <f>"SNC"</f>
        <v>SNC</v>
      </c>
      <c r="H541" s="7" t="str">
        <f>"30175"</f>
        <v>30175</v>
      </c>
      <c r="I541" s="7" t="s">
        <v>13</v>
      </c>
      <c r="J541" s="7" t="s">
        <v>925</v>
      </c>
      <c r="K541" s="7" t="s">
        <v>43</v>
      </c>
    </row>
    <row r="542" spans="1:11" x14ac:dyDescent="0.3">
      <c r="A542" s="7">
        <v>539</v>
      </c>
      <c r="B542" s="7" t="s">
        <v>4243</v>
      </c>
      <c r="C542" s="7" t="s">
        <v>255</v>
      </c>
      <c r="D542" s="7" t="s">
        <v>3912</v>
      </c>
      <c r="E542" s="7" t="s">
        <v>383</v>
      </c>
      <c r="F542" s="7" t="s">
        <v>4477</v>
      </c>
      <c r="G542" s="7" t="str">
        <f>"SNC"</f>
        <v>SNC</v>
      </c>
      <c r="H542" s="7" t="str">
        <f>"30175"</f>
        <v>30175</v>
      </c>
      <c r="I542" s="7" t="s">
        <v>13</v>
      </c>
      <c r="J542" s="7" t="s">
        <v>925</v>
      </c>
      <c r="K542" s="7" t="s">
        <v>14</v>
      </c>
    </row>
    <row r="543" spans="1:11" x14ac:dyDescent="0.3">
      <c r="A543" s="7">
        <v>540</v>
      </c>
      <c r="B543" s="7" t="s">
        <v>5055</v>
      </c>
      <c r="C543" s="7" t="s">
        <v>5056</v>
      </c>
      <c r="D543" s="7" t="s">
        <v>3912</v>
      </c>
      <c r="E543" s="7" t="s">
        <v>383</v>
      </c>
      <c r="F543" s="7" t="s">
        <v>4851</v>
      </c>
      <c r="G543" s="7" t="str">
        <f>"17"</f>
        <v>17</v>
      </c>
      <c r="H543" s="7" t="str">
        <f>"30172"</f>
        <v>30172</v>
      </c>
      <c r="I543" s="7" t="s">
        <v>13</v>
      </c>
      <c r="J543" s="7" t="s">
        <v>925</v>
      </c>
      <c r="K543" s="7" t="s">
        <v>14</v>
      </c>
    </row>
    <row r="544" spans="1:11" x14ac:dyDescent="0.3">
      <c r="A544" s="8">
        <v>541</v>
      </c>
      <c r="B544" s="8" t="s">
        <v>1000</v>
      </c>
      <c r="C544" s="8" t="s">
        <v>5057</v>
      </c>
      <c r="D544" s="8" t="s">
        <v>3912</v>
      </c>
      <c r="E544" s="8" t="s">
        <v>383</v>
      </c>
      <c r="F544" s="8" t="s">
        <v>5058</v>
      </c>
      <c r="G544" s="8" t="str">
        <f>"14"</f>
        <v>14</v>
      </c>
      <c r="H544" s="8" t="str">
        <f>"30173"</f>
        <v>30173</v>
      </c>
      <c r="I544" s="8" t="s">
        <v>13</v>
      </c>
      <c r="J544" s="8" t="s">
        <v>927</v>
      </c>
      <c r="K544" s="8" t="s">
        <v>14</v>
      </c>
    </row>
    <row r="545" spans="1:11" x14ac:dyDescent="0.3">
      <c r="A545" s="10">
        <v>542</v>
      </c>
      <c r="B545" s="10" t="s">
        <v>5059</v>
      </c>
      <c r="C545" s="10" t="s">
        <v>5060</v>
      </c>
      <c r="D545" s="10" t="s">
        <v>3912</v>
      </c>
      <c r="E545" s="10" t="s">
        <v>383</v>
      </c>
      <c r="F545" s="10" t="s">
        <v>3409</v>
      </c>
      <c r="G545" s="10" t="str">
        <f>"9/A"</f>
        <v>9/A</v>
      </c>
      <c r="H545" s="10" t="str">
        <f>"30171"</f>
        <v>30171</v>
      </c>
      <c r="I545" s="10" t="s">
        <v>13</v>
      </c>
      <c r="J545" s="10" t="s">
        <v>926</v>
      </c>
      <c r="K545" s="10" t="s">
        <v>20</v>
      </c>
    </row>
    <row r="546" spans="1:11" x14ac:dyDescent="0.3">
      <c r="A546" s="7">
        <v>543</v>
      </c>
      <c r="B546" s="7" t="s">
        <v>5061</v>
      </c>
      <c r="C546" s="7" t="s">
        <v>5062</v>
      </c>
      <c r="D546" s="7" t="s">
        <v>3912</v>
      </c>
      <c r="E546" s="7" t="s">
        <v>383</v>
      </c>
      <c r="F546" s="7" t="s">
        <v>5063</v>
      </c>
      <c r="G546" s="7" t="str">
        <f>"492"</f>
        <v>492</v>
      </c>
      <c r="H546" s="7" t="str">
        <f>"30121"</f>
        <v>30121</v>
      </c>
      <c r="I546" s="7" t="s">
        <v>13</v>
      </c>
      <c r="J546" s="7" t="s">
        <v>925</v>
      </c>
      <c r="K546" s="7" t="s">
        <v>58</v>
      </c>
    </row>
    <row r="547" spans="1:11" x14ac:dyDescent="0.3">
      <c r="A547" s="7">
        <v>544</v>
      </c>
      <c r="B547" s="7" t="s">
        <v>5064</v>
      </c>
      <c r="C547" s="7" t="s">
        <v>628</v>
      </c>
      <c r="D547" s="7" t="s">
        <v>3912</v>
      </c>
      <c r="E547" s="7" t="s">
        <v>383</v>
      </c>
      <c r="F547" s="7" t="s">
        <v>5065</v>
      </c>
      <c r="G547" s="7" t="str">
        <f>"SNC"</f>
        <v>SNC</v>
      </c>
      <c r="H547" s="7" t="str">
        <f>"30121"</f>
        <v>30121</v>
      </c>
      <c r="I547" s="7" t="s">
        <v>13</v>
      </c>
      <c r="J547" s="7" t="s">
        <v>925</v>
      </c>
      <c r="K547" s="7" t="s">
        <v>43</v>
      </c>
    </row>
    <row r="548" spans="1:11" x14ac:dyDescent="0.3">
      <c r="A548" s="10">
        <v>545</v>
      </c>
      <c r="B548" s="10" t="s">
        <v>5066</v>
      </c>
      <c r="C548" s="10" t="s">
        <v>5067</v>
      </c>
      <c r="D548" s="10" t="s">
        <v>3912</v>
      </c>
      <c r="E548" s="10" t="s">
        <v>383</v>
      </c>
      <c r="F548" s="10" t="s">
        <v>4631</v>
      </c>
      <c r="G548" s="10" t="str">
        <f>"335/F/G"</f>
        <v>335/F/G</v>
      </c>
      <c r="H548" s="10" t="str">
        <f>"30173"</f>
        <v>30173</v>
      </c>
      <c r="I548" s="10" t="s">
        <v>13</v>
      </c>
      <c r="J548" s="10" t="s">
        <v>926</v>
      </c>
      <c r="K548" s="10" t="s">
        <v>1932</v>
      </c>
    </row>
    <row r="549" spans="1:11" x14ac:dyDescent="0.3">
      <c r="A549" s="8">
        <v>546</v>
      </c>
      <c r="B549" s="8" t="s">
        <v>5068</v>
      </c>
      <c r="C549" s="8" t="s">
        <v>2428</v>
      </c>
      <c r="D549" s="8" t="s">
        <v>3912</v>
      </c>
      <c r="E549" s="8" t="s">
        <v>383</v>
      </c>
      <c r="F549" s="8" t="s">
        <v>4684</v>
      </c>
      <c r="G549" s="8" t="str">
        <f>"3017"</f>
        <v>3017</v>
      </c>
      <c r="H549" s="8" t="str">
        <f>"30123"</f>
        <v>30123</v>
      </c>
      <c r="I549" s="8" t="s">
        <v>13</v>
      </c>
      <c r="J549" s="8" t="s">
        <v>927</v>
      </c>
      <c r="K549" s="8" t="s">
        <v>43</v>
      </c>
    </row>
    <row r="550" spans="1:11" x14ac:dyDescent="0.3">
      <c r="A550" s="7">
        <v>547</v>
      </c>
      <c r="B550" s="7" t="s">
        <v>2249</v>
      </c>
      <c r="C550" s="7" t="s">
        <v>5069</v>
      </c>
      <c r="D550" s="7" t="s">
        <v>3912</v>
      </c>
      <c r="E550" s="7" t="s">
        <v>383</v>
      </c>
      <c r="F550" s="7" t="s">
        <v>4571</v>
      </c>
      <c r="G550" s="7" t="str">
        <f>"22"</f>
        <v>22</v>
      </c>
      <c r="H550" s="7" t="str">
        <f>"30174"</f>
        <v>30174</v>
      </c>
      <c r="I550" s="7" t="s">
        <v>13</v>
      </c>
      <c r="J550" s="7" t="s">
        <v>925</v>
      </c>
      <c r="K550" s="7" t="s">
        <v>14</v>
      </c>
    </row>
    <row r="551" spans="1:11" x14ac:dyDescent="0.3">
      <c r="A551" s="8">
        <v>548</v>
      </c>
      <c r="B551" s="8" t="s">
        <v>5070</v>
      </c>
      <c r="C551" s="8" t="s">
        <v>5071</v>
      </c>
      <c r="D551" s="8" t="s">
        <v>3912</v>
      </c>
      <c r="E551" s="8" t="s">
        <v>383</v>
      </c>
      <c r="F551" s="8" t="s">
        <v>2595</v>
      </c>
      <c r="G551" s="8" t="str">
        <f>"24/A/B"</f>
        <v>24/A/B</v>
      </c>
      <c r="H551" s="8" t="str">
        <f>"30174"</f>
        <v>30174</v>
      </c>
      <c r="I551" s="8" t="s">
        <v>13</v>
      </c>
      <c r="J551" s="8" t="s">
        <v>927</v>
      </c>
      <c r="K551" s="8" t="s">
        <v>241</v>
      </c>
    </row>
    <row r="552" spans="1:11" x14ac:dyDescent="0.3">
      <c r="A552" s="10">
        <v>549</v>
      </c>
      <c r="B552" s="10" t="s">
        <v>5072</v>
      </c>
      <c r="C552" s="10" t="s">
        <v>5073</v>
      </c>
      <c r="D552" s="10" t="s">
        <v>3912</v>
      </c>
      <c r="E552" s="10" t="s">
        <v>383</v>
      </c>
      <c r="F552" s="10" t="s">
        <v>4544</v>
      </c>
      <c r="G552" s="10" t="str">
        <f>"3795"</f>
        <v>3795</v>
      </c>
      <c r="H552" s="10" t="str">
        <f>"30124"</f>
        <v>30124</v>
      </c>
      <c r="I552" s="10" t="s">
        <v>13</v>
      </c>
      <c r="J552" s="10" t="s">
        <v>926</v>
      </c>
      <c r="K552" s="10" t="s">
        <v>43</v>
      </c>
    </row>
    <row r="553" spans="1:11" x14ac:dyDescent="0.3">
      <c r="A553" s="10">
        <v>550</v>
      </c>
      <c r="B553" s="10" t="s">
        <v>5074</v>
      </c>
      <c r="C553" s="10" t="s">
        <v>5075</v>
      </c>
      <c r="D553" s="10" t="s">
        <v>3912</v>
      </c>
      <c r="E553" s="10" t="s">
        <v>383</v>
      </c>
      <c r="F553" s="10" t="s">
        <v>1967</v>
      </c>
      <c r="G553" s="10" t="str">
        <f>"5/A"</f>
        <v>5/A</v>
      </c>
      <c r="H553" s="10" t="str">
        <f>"30172"</f>
        <v>30172</v>
      </c>
      <c r="I553" s="10" t="s">
        <v>13</v>
      </c>
      <c r="J553" s="10" t="s">
        <v>926</v>
      </c>
      <c r="K553" s="10" t="s">
        <v>224</v>
      </c>
    </row>
    <row r="554" spans="1:11" x14ac:dyDescent="0.3">
      <c r="A554" s="10">
        <v>551</v>
      </c>
      <c r="B554" s="10" t="s">
        <v>5076</v>
      </c>
      <c r="C554" s="10" t="s">
        <v>5077</v>
      </c>
      <c r="D554" s="10" t="s">
        <v>3912</v>
      </c>
      <c r="E554" s="10" t="s">
        <v>383</v>
      </c>
      <c r="F554" s="10" t="s">
        <v>5078</v>
      </c>
      <c r="G554" s="10" t="str">
        <f>"3502/3503"</f>
        <v>3502/3503</v>
      </c>
      <c r="H554" s="10" t="str">
        <f>"30123"</f>
        <v>30123</v>
      </c>
      <c r="I554" s="10" t="s">
        <v>13</v>
      </c>
      <c r="J554" s="10" t="s">
        <v>926</v>
      </c>
      <c r="K554" s="10" t="s">
        <v>14</v>
      </c>
    </row>
    <row r="555" spans="1:11" x14ac:dyDescent="0.3">
      <c r="A555" s="7">
        <v>552</v>
      </c>
      <c r="B555" s="7" t="s">
        <v>5079</v>
      </c>
      <c r="C555" s="7" t="s">
        <v>5080</v>
      </c>
      <c r="D555" s="7" t="s">
        <v>3912</v>
      </c>
      <c r="E555" s="7" t="s">
        <v>383</v>
      </c>
      <c r="F555" s="7" t="s">
        <v>5081</v>
      </c>
      <c r="G555" s="7" t="str">
        <f>"27"</f>
        <v>27</v>
      </c>
      <c r="H555" s="7" t="str">
        <f>"30171"</f>
        <v>30171</v>
      </c>
      <c r="I555" s="7" t="s">
        <v>13</v>
      </c>
      <c r="J555" s="7" t="s">
        <v>925</v>
      </c>
      <c r="K555" s="7" t="s">
        <v>14</v>
      </c>
    </row>
    <row r="556" spans="1:11" x14ac:dyDescent="0.3">
      <c r="A556" s="8">
        <v>553</v>
      </c>
      <c r="B556" s="8" t="s">
        <v>5082</v>
      </c>
      <c r="C556" s="8" t="s">
        <v>5083</v>
      </c>
      <c r="D556" s="8" t="s">
        <v>3912</v>
      </c>
      <c r="E556" s="8" t="s">
        <v>383</v>
      </c>
      <c r="F556" s="8" t="s">
        <v>4139</v>
      </c>
      <c r="G556" s="8" t="str">
        <f>"15/M/N"</f>
        <v>15/M/N</v>
      </c>
      <c r="H556" s="8" t="str">
        <f>"30173"</f>
        <v>30173</v>
      </c>
      <c r="I556" s="8" t="s">
        <v>13</v>
      </c>
      <c r="J556" s="8" t="s">
        <v>927</v>
      </c>
      <c r="K556" s="8" t="s">
        <v>241</v>
      </c>
    </row>
    <row r="557" spans="1:11" x14ac:dyDescent="0.3">
      <c r="A557" s="8">
        <v>554</v>
      </c>
      <c r="B557" s="8" t="s">
        <v>5084</v>
      </c>
      <c r="C557" s="8" t="s">
        <v>2124</v>
      </c>
      <c r="D557" s="8" t="s">
        <v>3912</v>
      </c>
      <c r="E557" s="8" t="s">
        <v>383</v>
      </c>
      <c r="F557" s="8" t="s">
        <v>4942</v>
      </c>
      <c r="G557" s="8" t="str">
        <f>"27"</f>
        <v>27</v>
      </c>
      <c r="H557" s="8" t="str">
        <f>"30173"</f>
        <v>30173</v>
      </c>
      <c r="I557" s="8" t="s">
        <v>13</v>
      </c>
      <c r="J557" s="8" t="s">
        <v>927</v>
      </c>
      <c r="K557" s="8" t="s">
        <v>20</v>
      </c>
    </row>
    <row r="558" spans="1:11" x14ac:dyDescent="0.3">
      <c r="A558" s="8">
        <v>555</v>
      </c>
      <c r="B558" s="8" t="s">
        <v>5085</v>
      </c>
      <c r="C558" s="8" t="s">
        <v>5086</v>
      </c>
      <c r="D558" s="8" t="s">
        <v>3912</v>
      </c>
      <c r="E558" s="8" t="s">
        <v>383</v>
      </c>
      <c r="F558" s="8" t="s">
        <v>4139</v>
      </c>
      <c r="G558" s="8" t="str">
        <f>"116/F"</f>
        <v>116/F</v>
      </c>
      <c r="H558" s="8" t="str">
        <f>"30173"</f>
        <v>30173</v>
      </c>
      <c r="I558" s="8" t="s">
        <v>13</v>
      </c>
      <c r="J558" s="8" t="s">
        <v>927</v>
      </c>
      <c r="K558" s="8" t="s">
        <v>241</v>
      </c>
    </row>
    <row r="559" spans="1:11" x14ac:dyDescent="0.3">
      <c r="A559" s="10">
        <v>556</v>
      </c>
      <c r="B559" s="10" t="s">
        <v>5087</v>
      </c>
      <c r="C559" s="10" t="s">
        <v>924</v>
      </c>
      <c r="D559" s="10" t="s">
        <v>3912</v>
      </c>
      <c r="E559" s="10" t="s">
        <v>383</v>
      </c>
      <c r="F559" s="10" t="s">
        <v>5088</v>
      </c>
      <c r="G559" s="10" t="str">
        <f>"31"</f>
        <v>31</v>
      </c>
      <c r="H559" s="10" t="str">
        <f>"30176"</f>
        <v>30176</v>
      </c>
      <c r="I559" s="10" t="s">
        <v>13</v>
      </c>
      <c r="J559" s="10" t="s">
        <v>926</v>
      </c>
      <c r="K559" s="10" t="s">
        <v>224</v>
      </c>
    </row>
    <row r="560" spans="1:11" x14ac:dyDescent="0.3">
      <c r="A560" s="7">
        <v>557</v>
      </c>
      <c r="B560" s="7" t="s">
        <v>5089</v>
      </c>
      <c r="C560" s="7" t="s">
        <v>5090</v>
      </c>
      <c r="D560" s="7" t="s">
        <v>3912</v>
      </c>
      <c r="E560" s="7" t="s">
        <v>383</v>
      </c>
      <c r="F560" s="7" t="s">
        <v>4809</v>
      </c>
      <c r="G560" s="7" t="str">
        <f>"58"</f>
        <v>58</v>
      </c>
      <c r="H560" s="7" t="str">
        <f>"30173"</f>
        <v>30173</v>
      </c>
      <c r="I560" s="7" t="s">
        <v>13</v>
      </c>
      <c r="J560" s="7" t="s">
        <v>925</v>
      </c>
      <c r="K560" s="7" t="s">
        <v>14</v>
      </c>
    </row>
    <row r="561" spans="1:11" x14ac:dyDescent="0.3">
      <c r="A561" s="10">
        <v>558</v>
      </c>
      <c r="B561" s="10" t="s">
        <v>5091</v>
      </c>
      <c r="C561" s="10" t="s">
        <v>5092</v>
      </c>
      <c r="D561" s="10" t="s">
        <v>3912</v>
      </c>
      <c r="E561" s="10" t="s">
        <v>383</v>
      </c>
      <c r="F561" s="10" t="s">
        <v>4633</v>
      </c>
      <c r="G561" s="10" t="str">
        <f>"67/D"</f>
        <v>67/D</v>
      </c>
      <c r="H561" s="10" t="str">
        <f>"30172"</f>
        <v>30172</v>
      </c>
      <c r="I561" s="10" t="s">
        <v>13</v>
      </c>
      <c r="J561" s="10" t="s">
        <v>926</v>
      </c>
      <c r="K561" s="10" t="s">
        <v>165</v>
      </c>
    </row>
    <row r="562" spans="1:11" x14ac:dyDescent="0.3">
      <c r="A562" s="7">
        <v>559</v>
      </c>
      <c r="B562" s="7" t="s">
        <v>5093</v>
      </c>
      <c r="C562" s="7" t="s">
        <v>5094</v>
      </c>
      <c r="D562" s="7" t="s">
        <v>3912</v>
      </c>
      <c r="E562" s="7" t="s">
        <v>383</v>
      </c>
      <c r="F562" s="7" t="s">
        <v>5095</v>
      </c>
      <c r="G562" s="7" t="str">
        <f>"1175"</f>
        <v>1175</v>
      </c>
      <c r="H562" s="7" t="str">
        <f>"30135"</f>
        <v>30135</v>
      </c>
      <c r="I562" s="7" t="s">
        <v>13</v>
      </c>
      <c r="J562" s="7" t="s">
        <v>925</v>
      </c>
      <c r="K562" s="7" t="s">
        <v>5096</v>
      </c>
    </row>
    <row r="563" spans="1:11" x14ac:dyDescent="0.3">
      <c r="A563" s="8">
        <v>560</v>
      </c>
      <c r="B563" s="8" t="s">
        <v>5097</v>
      </c>
      <c r="C563" s="8" t="s">
        <v>5098</v>
      </c>
      <c r="D563" s="8" t="s">
        <v>3912</v>
      </c>
      <c r="E563" s="8" t="s">
        <v>383</v>
      </c>
      <c r="F563" s="8" t="s">
        <v>4684</v>
      </c>
      <c r="G563" s="8" t="str">
        <f>"1491-1492"</f>
        <v>1491-1492</v>
      </c>
      <c r="H563" s="8" t="str">
        <f>"30123"</f>
        <v>30123</v>
      </c>
      <c r="I563" s="8" t="s">
        <v>13</v>
      </c>
      <c r="J563" s="8" t="s">
        <v>927</v>
      </c>
      <c r="K563" s="8" t="s">
        <v>14</v>
      </c>
    </row>
    <row r="564" spans="1:11" x14ac:dyDescent="0.3">
      <c r="A564" s="7">
        <v>561</v>
      </c>
      <c r="B564" s="7" t="s">
        <v>5099</v>
      </c>
      <c r="C564" s="7" t="s">
        <v>5100</v>
      </c>
      <c r="D564" s="7" t="s">
        <v>3912</v>
      </c>
      <c r="E564" s="7" t="s">
        <v>383</v>
      </c>
      <c r="F564" s="7" t="s">
        <v>475</v>
      </c>
      <c r="G564" s="7" t="str">
        <f>"34"</f>
        <v>34</v>
      </c>
      <c r="H564" s="7" t="str">
        <f>"30172"</f>
        <v>30172</v>
      </c>
      <c r="I564" s="7" t="s">
        <v>13</v>
      </c>
      <c r="J564" s="7" t="s">
        <v>925</v>
      </c>
      <c r="K564" s="7" t="s">
        <v>224</v>
      </c>
    </row>
    <row r="565" spans="1:11" x14ac:dyDescent="0.3">
      <c r="A565" s="8">
        <v>562</v>
      </c>
      <c r="B565" s="8" t="s">
        <v>5101</v>
      </c>
      <c r="C565" s="8" t="s">
        <v>5101</v>
      </c>
      <c r="D565" s="8" t="s">
        <v>3912</v>
      </c>
      <c r="E565" s="8" t="s">
        <v>383</v>
      </c>
      <c r="F565" s="8" t="s">
        <v>4796</v>
      </c>
      <c r="G565" s="8" t="str">
        <f>"23"</f>
        <v>23</v>
      </c>
      <c r="H565" s="8" t="str">
        <f>"30175"</f>
        <v>30175</v>
      </c>
      <c r="I565" s="8" t="s">
        <v>13</v>
      </c>
      <c r="J565" s="8" t="s">
        <v>927</v>
      </c>
      <c r="K565" s="8" t="s">
        <v>14</v>
      </c>
    </row>
    <row r="566" spans="1:11" x14ac:dyDescent="0.3">
      <c r="A566" s="7">
        <v>563</v>
      </c>
      <c r="B566" s="7" t="s">
        <v>5102</v>
      </c>
      <c r="C566" s="7">
        <v>41</v>
      </c>
      <c r="D566" s="7" t="s">
        <v>3912</v>
      </c>
      <c r="E566" s="7" t="s">
        <v>383</v>
      </c>
      <c r="F566" s="7" t="s">
        <v>4486</v>
      </c>
      <c r="G566" s="7" t="str">
        <f>"33/35"</f>
        <v>33/35</v>
      </c>
      <c r="H566" s="7" t="str">
        <f>"30175"</f>
        <v>30175</v>
      </c>
      <c r="I566" s="7" t="s">
        <v>13</v>
      </c>
      <c r="J566" s="7" t="s">
        <v>925</v>
      </c>
      <c r="K566" s="7" t="s">
        <v>14</v>
      </c>
    </row>
    <row r="567" spans="1:11" x14ac:dyDescent="0.3">
      <c r="A567" s="7">
        <v>564</v>
      </c>
      <c r="B567" s="7" t="s">
        <v>5103</v>
      </c>
      <c r="C567" s="7" t="s">
        <v>5104</v>
      </c>
      <c r="D567" s="7" t="s">
        <v>3912</v>
      </c>
      <c r="E567" s="7" t="s">
        <v>383</v>
      </c>
      <c r="F567" s="7" t="s">
        <v>5105</v>
      </c>
      <c r="G567" s="7" t="str">
        <f>"50"</f>
        <v>50</v>
      </c>
      <c r="H567" s="7" t="str">
        <f>"30174"</f>
        <v>30174</v>
      </c>
      <c r="I567" s="7" t="s">
        <v>13</v>
      </c>
      <c r="J567" s="7" t="s">
        <v>925</v>
      </c>
      <c r="K567" s="7" t="s">
        <v>14</v>
      </c>
    </row>
    <row r="568" spans="1:11" x14ac:dyDescent="0.3">
      <c r="A568" s="8">
        <v>565</v>
      </c>
      <c r="B568" s="8" t="s">
        <v>931</v>
      </c>
      <c r="C568" s="8" t="s">
        <v>54</v>
      </c>
      <c r="D568" s="8" t="s">
        <v>3912</v>
      </c>
      <c r="E568" s="8" t="s">
        <v>5106</v>
      </c>
      <c r="F568" s="8" t="s">
        <v>124</v>
      </c>
      <c r="G568" s="8" t="str">
        <f>"62"</f>
        <v>62</v>
      </c>
      <c r="H568" s="8" t="str">
        <f>"30030"</f>
        <v>30030</v>
      </c>
      <c r="I568" s="8" t="s">
        <v>13</v>
      </c>
      <c r="J568" s="8" t="s">
        <v>927</v>
      </c>
      <c r="K568" s="8" t="s">
        <v>14</v>
      </c>
    </row>
    <row r="569" spans="1:11" x14ac:dyDescent="0.3">
      <c r="A569" s="7">
        <v>566</v>
      </c>
      <c r="B569" s="7" t="s">
        <v>5107</v>
      </c>
      <c r="C569" s="7" t="s">
        <v>3740</v>
      </c>
      <c r="D569" s="7" t="s">
        <v>3912</v>
      </c>
      <c r="E569" s="7" t="s">
        <v>5106</v>
      </c>
      <c r="F569" s="7" t="s">
        <v>169</v>
      </c>
      <c r="G569" s="7" t="str">
        <f>"1"</f>
        <v>1</v>
      </c>
      <c r="H569" s="7" t="str">
        <f>"30030"</f>
        <v>30030</v>
      </c>
      <c r="I569" s="7" t="s">
        <v>13</v>
      </c>
      <c r="J569" s="7" t="s">
        <v>925</v>
      </c>
      <c r="K569" s="7" t="s">
        <v>43</v>
      </c>
    </row>
  </sheetData>
  <autoFilter ref="A3:K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2:K210"/>
  <sheetViews>
    <sheetView workbookViewId="0">
      <selection activeCell="A4" sqref="A4:XFD4"/>
    </sheetView>
  </sheetViews>
  <sheetFormatPr defaultRowHeight="14.4" x14ac:dyDescent="0.3"/>
  <cols>
    <col min="1" max="1" width="4" bestFit="1" customWidth="1"/>
    <col min="2" max="2" width="32.109375" bestFit="1" customWidth="1"/>
    <col min="3" max="3" width="32" bestFit="1" customWidth="1"/>
    <col min="4" max="4" width="15.44140625" bestFit="1" customWidth="1"/>
    <col min="5" max="5" width="30.33203125" bestFit="1" customWidth="1"/>
    <col min="6" max="6" width="37.77734375" bestFit="1" customWidth="1"/>
    <col min="7" max="7" width="7.33203125" bestFit="1" customWidth="1"/>
    <col min="8" max="8" width="6" bestFit="1" customWidth="1"/>
    <col min="9" max="9" width="8.33203125" bestFit="1" customWidth="1"/>
    <col min="10" max="10" width="42.5546875" bestFit="1" customWidth="1"/>
    <col min="11" max="11" width="55.44140625" bestFit="1" customWidth="1"/>
  </cols>
  <sheetData>
    <row r="2" spans="1:11" ht="21" x14ac:dyDescent="0.35">
      <c r="F2" s="17" t="s">
        <v>3457</v>
      </c>
    </row>
    <row r="4" spans="1:11" ht="15" x14ac:dyDescent="0.25">
      <c r="A4" s="18" t="s">
        <v>929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2525</v>
      </c>
      <c r="K4" s="18" t="s">
        <v>8</v>
      </c>
    </row>
    <row r="5" spans="1:11" ht="15" x14ac:dyDescent="0.25">
      <c r="A5" s="6">
        <v>1</v>
      </c>
      <c r="B5" s="6" t="s">
        <v>3458</v>
      </c>
      <c r="C5" s="6" t="s">
        <v>3459</v>
      </c>
      <c r="D5" s="6" t="s">
        <v>3460</v>
      </c>
      <c r="E5" s="6" t="s">
        <v>3461</v>
      </c>
      <c r="F5" s="6" t="s">
        <v>3378</v>
      </c>
      <c r="G5" s="6" t="str">
        <f>"30"</f>
        <v>30</v>
      </c>
      <c r="H5" s="6" t="str">
        <f>"37010"</f>
        <v>37010</v>
      </c>
      <c r="I5" s="6" t="s">
        <v>13</v>
      </c>
      <c r="J5" s="6" t="s">
        <v>3462</v>
      </c>
      <c r="K5" s="6" t="s">
        <v>165</v>
      </c>
    </row>
    <row r="6" spans="1:11" ht="15" x14ac:dyDescent="0.25">
      <c r="A6" s="19">
        <v>2</v>
      </c>
      <c r="B6" s="19" t="s">
        <v>1356</v>
      </c>
      <c r="C6" s="19" t="s">
        <v>551</v>
      </c>
      <c r="D6" s="19" t="s">
        <v>3460</v>
      </c>
      <c r="E6" s="19" t="s">
        <v>3461</v>
      </c>
      <c r="F6" s="19" t="s">
        <v>3463</v>
      </c>
      <c r="G6" s="19" t="str">
        <f>"SNC"</f>
        <v>SNC</v>
      </c>
      <c r="H6" s="19" t="str">
        <f>"37010"</f>
        <v>37010</v>
      </c>
      <c r="I6" s="19" t="s">
        <v>13</v>
      </c>
      <c r="J6" s="19" t="s">
        <v>928</v>
      </c>
      <c r="K6" s="19" t="s">
        <v>14</v>
      </c>
    </row>
    <row r="7" spans="1:11" ht="15" x14ac:dyDescent="0.25">
      <c r="A7" s="8">
        <v>3</v>
      </c>
      <c r="B7" s="8" t="s">
        <v>3464</v>
      </c>
      <c r="C7" s="8" t="s">
        <v>3465</v>
      </c>
      <c r="D7" s="8" t="s">
        <v>3460</v>
      </c>
      <c r="E7" s="8" t="s">
        <v>3466</v>
      </c>
      <c r="F7" s="8" t="s">
        <v>48</v>
      </c>
      <c r="G7" s="8" t="str">
        <f>"28"</f>
        <v>28</v>
      </c>
      <c r="H7" s="8" t="str">
        <f>"37040"</f>
        <v>37040</v>
      </c>
      <c r="I7" s="8" t="s">
        <v>13</v>
      </c>
      <c r="J7" s="8" t="s">
        <v>925</v>
      </c>
      <c r="K7" s="8" t="s">
        <v>58</v>
      </c>
    </row>
    <row r="8" spans="1:11" ht="15" x14ac:dyDescent="0.25">
      <c r="A8" s="6">
        <v>4</v>
      </c>
      <c r="B8" s="6" t="s">
        <v>1010</v>
      </c>
      <c r="C8" s="6" t="s">
        <v>110</v>
      </c>
      <c r="D8" s="6" t="s">
        <v>3460</v>
      </c>
      <c r="E8" s="6" t="s">
        <v>3466</v>
      </c>
      <c r="F8" s="6" t="s">
        <v>3467</v>
      </c>
      <c r="G8" s="6" t="str">
        <f>"SNC"</f>
        <v>SNC</v>
      </c>
      <c r="H8" s="6" t="str">
        <f>"37040"</f>
        <v>37040</v>
      </c>
      <c r="I8" s="6" t="s">
        <v>13</v>
      </c>
      <c r="J8" s="6" t="s">
        <v>927</v>
      </c>
      <c r="K8" s="6" t="s">
        <v>14</v>
      </c>
    </row>
    <row r="9" spans="1:11" ht="15" x14ac:dyDescent="0.25">
      <c r="A9" s="8">
        <v>5</v>
      </c>
      <c r="B9" s="8" t="s">
        <v>3468</v>
      </c>
      <c r="C9" s="8" t="s">
        <v>3469</v>
      </c>
      <c r="D9" s="8" t="s">
        <v>3460</v>
      </c>
      <c r="E9" s="8" t="s">
        <v>3470</v>
      </c>
      <c r="F9" s="8" t="s">
        <v>3471</v>
      </c>
      <c r="G9" s="8" t="str">
        <f>"15"</f>
        <v>15</v>
      </c>
      <c r="H9" s="8" t="str">
        <f t="shared" ref="H9:H15" si="0">"37012"</f>
        <v>37012</v>
      </c>
      <c r="I9" s="8" t="s">
        <v>13</v>
      </c>
      <c r="J9" s="8" t="s">
        <v>925</v>
      </c>
      <c r="K9" s="8" t="s">
        <v>572</v>
      </c>
    </row>
    <row r="10" spans="1:11" ht="15" x14ac:dyDescent="0.25">
      <c r="A10" s="8">
        <v>6</v>
      </c>
      <c r="B10" s="8" t="s">
        <v>1107</v>
      </c>
      <c r="C10" s="8" t="s">
        <v>255</v>
      </c>
      <c r="D10" s="8" t="s">
        <v>3460</v>
      </c>
      <c r="E10" s="8" t="s">
        <v>3470</v>
      </c>
      <c r="F10" s="8" t="s">
        <v>3472</v>
      </c>
      <c r="G10" s="8" t="str">
        <f>"SNC"</f>
        <v>SNC</v>
      </c>
      <c r="H10" s="8" t="str">
        <f t="shared" si="0"/>
        <v>37012</v>
      </c>
      <c r="I10" s="8" t="s">
        <v>13</v>
      </c>
      <c r="J10" s="8" t="s">
        <v>925</v>
      </c>
      <c r="K10" s="8" t="s">
        <v>14</v>
      </c>
    </row>
    <row r="11" spans="1:11" ht="15" x14ac:dyDescent="0.25">
      <c r="A11" s="19">
        <v>7</v>
      </c>
      <c r="B11" s="19" t="s">
        <v>1356</v>
      </c>
      <c r="C11" s="19" t="s">
        <v>551</v>
      </c>
      <c r="D11" s="19" t="s">
        <v>3460</v>
      </c>
      <c r="E11" s="19" t="s">
        <v>3470</v>
      </c>
      <c r="F11" s="19" t="s">
        <v>3473</v>
      </c>
      <c r="G11" s="19" t="str">
        <f>"SNC"</f>
        <v>SNC</v>
      </c>
      <c r="H11" s="19" t="str">
        <f t="shared" si="0"/>
        <v>37012</v>
      </c>
      <c r="I11" s="19" t="s">
        <v>13</v>
      </c>
      <c r="J11" s="19" t="s">
        <v>928</v>
      </c>
      <c r="K11" s="19" t="s">
        <v>14</v>
      </c>
    </row>
    <row r="12" spans="1:11" ht="15" x14ac:dyDescent="0.25">
      <c r="A12" s="6">
        <v>8</v>
      </c>
      <c r="B12" s="6" t="s">
        <v>3474</v>
      </c>
      <c r="C12" s="6" t="s">
        <v>3475</v>
      </c>
      <c r="D12" s="6" t="s">
        <v>3460</v>
      </c>
      <c r="E12" s="6" t="s">
        <v>3470</v>
      </c>
      <c r="F12" s="6" t="s">
        <v>3476</v>
      </c>
      <c r="G12" s="6" t="str">
        <f>"10"</f>
        <v>10</v>
      </c>
      <c r="H12" s="6" t="str">
        <f t="shared" si="0"/>
        <v>37012</v>
      </c>
      <c r="I12" s="6" t="s">
        <v>13</v>
      </c>
      <c r="J12" s="6" t="s">
        <v>3462</v>
      </c>
      <c r="K12" s="6" t="s">
        <v>14</v>
      </c>
    </row>
    <row r="13" spans="1:11" ht="15" x14ac:dyDescent="0.25">
      <c r="A13" s="5">
        <v>9</v>
      </c>
      <c r="B13" s="5" t="s">
        <v>3477</v>
      </c>
      <c r="C13" s="5" t="s">
        <v>3478</v>
      </c>
      <c r="D13" s="5" t="s">
        <v>3460</v>
      </c>
      <c r="E13" s="5" t="s">
        <v>3470</v>
      </c>
      <c r="F13" s="5" t="s">
        <v>3473</v>
      </c>
      <c r="G13" s="5" t="str">
        <f>"11"</f>
        <v>11</v>
      </c>
      <c r="H13" s="5" t="str">
        <f t="shared" si="0"/>
        <v>37012</v>
      </c>
      <c r="I13" s="5" t="s">
        <v>13</v>
      </c>
      <c r="J13" s="5" t="s">
        <v>1771</v>
      </c>
      <c r="K13" s="5" t="s">
        <v>14</v>
      </c>
    </row>
    <row r="14" spans="1:11" ht="15" x14ac:dyDescent="0.25">
      <c r="A14" s="8">
        <v>10</v>
      </c>
      <c r="B14" s="8" t="s">
        <v>3479</v>
      </c>
      <c r="C14" s="8" t="s">
        <v>2563</v>
      </c>
      <c r="D14" s="8" t="s">
        <v>3460</v>
      </c>
      <c r="E14" s="8" t="s">
        <v>3470</v>
      </c>
      <c r="F14" s="8" t="s">
        <v>171</v>
      </c>
      <c r="G14" s="8" t="str">
        <f>"8"</f>
        <v>8</v>
      </c>
      <c r="H14" s="8" t="str">
        <f t="shared" si="0"/>
        <v>37012</v>
      </c>
      <c r="I14" s="8" t="s">
        <v>13</v>
      </c>
      <c r="J14" s="8" t="s">
        <v>925</v>
      </c>
      <c r="K14" s="8" t="s">
        <v>456</v>
      </c>
    </row>
    <row r="15" spans="1:11" ht="15" x14ac:dyDescent="0.25">
      <c r="A15" s="6">
        <v>11</v>
      </c>
      <c r="B15" s="6" t="s">
        <v>3480</v>
      </c>
      <c r="C15" s="6" t="s">
        <v>3481</v>
      </c>
      <c r="D15" s="6" t="s">
        <v>3460</v>
      </c>
      <c r="E15" s="6" t="s">
        <v>3470</v>
      </c>
      <c r="F15" s="6" t="s">
        <v>3482</v>
      </c>
      <c r="G15" s="6" t="str">
        <f>"45/47"</f>
        <v>45/47</v>
      </c>
      <c r="H15" s="6" t="str">
        <f t="shared" si="0"/>
        <v>37012</v>
      </c>
      <c r="I15" s="6" t="s">
        <v>13</v>
      </c>
      <c r="J15" s="6" t="s">
        <v>927</v>
      </c>
      <c r="K15" s="6" t="s">
        <v>20</v>
      </c>
    </row>
    <row r="16" spans="1:11" ht="15" x14ac:dyDescent="0.25">
      <c r="A16" s="8">
        <v>12</v>
      </c>
      <c r="B16" s="8" t="s">
        <v>3483</v>
      </c>
      <c r="C16" s="8" t="s">
        <v>3484</v>
      </c>
      <c r="D16" s="8" t="s">
        <v>3460</v>
      </c>
      <c r="E16" s="8" t="s">
        <v>3485</v>
      </c>
      <c r="F16" s="8" t="s">
        <v>3486</v>
      </c>
      <c r="G16" s="8" t="str">
        <f>"38"</f>
        <v>38</v>
      </c>
      <c r="H16" s="8" t="str">
        <f>"37060"</f>
        <v>37060</v>
      </c>
      <c r="I16" s="8" t="s">
        <v>13</v>
      </c>
      <c r="J16" s="8" t="s">
        <v>925</v>
      </c>
      <c r="K16" s="8" t="s">
        <v>14</v>
      </c>
    </row>
    <row r="17" spans="1:11" ht="15" x14ac:dyDescent="0.25">
      <c r="A17" s="6">
        <v>13</v>
      </c>
      <c r="B17" s="6" t="s">
        <v>3487</v>
      </c>
      <c r="C17" s="6" t="s">
        <v>3488</v>
      </c>
      <c r="D17" s="6" t="s">
        <v>3460</v>
      </c>
      <c r="E17" s="6" t="s">
        <v>3489</v>
      </c>
      <c r="F17" s="6" t="s">
        <v>536</v>
      </c>
      <c r="G17" s="6" t="str">
        <f>"9"</f>
        <v>9</v>
      </c>
      <c r="H17" s="6" t="str">
        <f>"37042"</f>
        <v>37042</v>
      </c>
      <c r="I17" s="6" t="s">
        <v>13</v>
      </c>
      <c r="J17" s="6" t="s">
        <v>927</v>
      </c>
      <c r="K17" s="6" t="s">
        <v>115</v>
      </c>
    </row>
    <row r="18" spans="1:11" ht="15" x14ac:dyDescent="0.25">
      <c r="A18" s="8">
        <v>14</v>
      </c>
      <c r="B18" s="8" t="s">
        <v>3490</v>
      </c>
      <c r="C18" s="8" t="s">
        <v>188</v>
      </c>
      <c r="D18" s="8" t="s">
        <v>3460</v>
      </c>
      <c r="E18" s="8" t="s">
        <v>3491</v>
      </c>
      <c r="F18" s="8" t="s">
        <v>3492</v>
      </c>
      <c r="G18" s="8" t="str">
        <f>"SNC"</f>
        <v>SNC</v>
      </c>
      <c r="H18" s="8" t="str">
        <f>"37013"</f>
        <v>37013</v>
      </c>
      <c r="I18" s="8" t="s">
        <v>13</v>
      </c>
      <c r="J18" s="8" t="s">
        <v>925</v>
      </c>
      <c r="K18" s="8" t="s">
        <v>98</v>
      </c>
    </row>
    <row r="19" spans="1:11" ht="15" x14ac:dyDescent="0.25">
      <c r="A19" s="8">
        <v>15</v>
      </c>
      <c r="B19" s="8" t="s">
        <v>3493</v>
      </c>
      <c r="C19" s="8" t="s">
        <v>3494</v>
      </c>
      <c r="D19" s="8" t="s">
        <v>3460</v>
      </c>
      <c r="E19" s="8" t="s">
        <v>3491</v>
      </c>
      <c r="F19" s="8" t="s">
        <v>868</v>
      </c>
      <c r="G19" s="8" t="str">
        <f>"10H"</f>
        <v>10H</v>
      </c>
      <c r="H19" s="8" t="str">
        <f>"37013"</f>
        <v>37013</v>
      </c>
      <c r="I19" s="8" t="s">
        <v>13</v>
      </c>
      <c r="J19" s="8" t="s">
        <v>925</v>
      </c>
      <c r="K19" s="8" t="s">
        <v>14</v>
      </c>
    </row>
    <row r="20" spans="1:11" ht="15" x14ac:dyDescent="0.25">
      <c r="A20" s="8">
        <v>16</v>
      </c>
      <c r="B20" s="8" t="s">
        <v>3495</v>
      </c>
      <c r="C20" s="8" t="s">
        <v>3496</v>
      </c>
      <c r="D20" s="8" t="s">
        <v>3460</v>
      </c>
      <c r="E20" s="8" t="s">
        <v>3497</v>
      </c>
      <c r="F20" s="8" t="s">
        <v>3498</v>
      </c>
      <c r="G20" s="8" t="str">
        <f>"92"</f>
        <v>92</v>
      </c>
      <c r="H20" s="8" t="str">
        <f>"37060"</f>
        <v>37060</v>
      </c>
      <c r="I20" s="8" t="s">
        <v>13</v>
      </c>
      <c r="J20" s="8" t="s">
        <v>925</v>
      </c>
      <c r="K20" s="8" t="s">
        <v>43</v>
      </c>
    </row>
    <row r="21" spans="1:11" ht="15" x14ac:dyDescent="0.25">
      <c r="A21" s="8">
        <v>17</v>
      </c>
      <c r="B21" s="8" t="s">
        <v>3499</v>
      </c>
      <c r="C21" s="8" t="s">
        <v>3500</v>
      </c>
      <c r="D21" s="8" t="s">
        <v>3460</v>
      </c>
      <c r="E21" s="8" t="s">
        <v>3501</v>
      </c>
      <c r="F21" s="8" t="s">
        <v>3502</v>
      </c>
      <c r="G21" s="8" t="str">
        <f>"43"</f>
        <v>43</v>
      </c>
      <c r="H21" s="8" t="str">
        <f>"37014"</f>
        <v>37014</v>
      </c>
      <c r="I21" s="8" t="s">
        <v>13</v>
      </c>
      <c r="J21" s="8" t="s">
        <v>925</v>
      </c>
      <c r="K21" s="8" t="s">
        <v>43</v>
      </c>
    </row>
    <row r="22" spans="1:11" ht="15" x14ac:dyDescent="0.25">
      <c r="A22" s="6">
        <v>18</v>
      </c>
      <c r="B22" s="6" t="s">
        <v>3503</v>
      </c>
      <c r="C22" s="6" t="s">
        <v>3504</v>
      </c>
      <c r="D22" s="6" t="s">
        <v>3460</v>
      </c>
      <c r="E22" s="6" t="s">
        <v>3505</v>
      </c>
      <c r="F22" s="6" t="s">
        <v>3506</v>
      </c>
      <c r="G22" s="6" t="str">
        <f>"SNC"</f>
        <v>SNC</v>
      </c>
      <c r="H22" s="6" t="str">
        <f>"37010"</f>
        <v>37010</v>
      </c>
      <c r="I22" s="6" t="s">
        <v>13</v>
      </c>
      <c r="J22" s="6" t="s">
        <v>3462</v>
      </c>
      <c r="K22" s="6" t="s">
        <v>14</v>
      </c>
    </row>
    <row r="23" spans="1:11" ht="15" x14ac:dyDescent="0.25">
      <c r="A23" s="8">
        <v>19</v>
      </c>
      <c r="B23" s="8" t="s">
        <v>3507</v>
      </c>
      <c r="C23" s="8" t="s">
        <v>3508</v>
      </c>
      <c r="D23" s="8" t="s">
        <v>3460</v>
      </c>
      <c r="E23" s="8" t="s">
        <v>3509</v>
      </c>
      <c r="F23" s="8" t="s">
        <v>3510</v>
      </c>
      <c r="G23" s="8" t="str">
        <f>"2"</f>
        <v>2</v>
      </c>
      <c r="H23" s="8" t="str">
        <f>"37016"</f>
        <v>37016</v>
      </c>
      <c r="I23" s="8" t="s">
        <v>13</v>
      </c>
      <c r="J23" s="8" t="s">
        <v>925</v>
      </c>
      <c r="K23" s="8" t="s">
        <v>14</v>
      </c>
    </row>
    <row r="24" spans="1:11" ht="15" x14ac:dyDescent="0.25">
      <c r="A24" s="6">
        <v>20</v>
      </c>
      <c r="B24" s="6" t="s">
        <v>3511</v>
      </c>
      <c r="C24" s="6" t="s">
        <v>3512</v>
      </c>
      <c r="D24" s="6" t="s">
        <v>3460</v>
      </c>
      <c r="E24" s="6" t="s">
        <v>3513</v>
      </c>
      <c r="F24" s="6" t="s">
        <v>3514</v>
      </c>
      <c r="G24" s="6" t="str">
        <f>"1"</f>
        <v>1</v>
      </c>
      <c r="H24" s="6" t="str">
        <f>"37023"</f>
        <v>37023</v>
      </c>
      <c r="I24" s="6" t="s">
        <v>13</v>
      </c>
      <c r="J24" s="6" t="s">
        <v>3462</v>
      </c>
      <c r="K24" s="6" t="s">
        <v>14</v>
      </c>
    </row>
    <row r="25" spans="1:11" ht="15" x14ac:dyDescent="0.25">
      <c r="A25" s="6">
        <v>21</v>
      </c>
      <c r="B25" s="6" t="s">
        <v>3515</v>
      </c>
      <c r="C25" s="6" t="s">
        <v>3516</v>
      </c>
      <c r="D25" s="6" t="s">
        <v>3460</v>
      </c>
      <c r="E25" s="6" t="s">
        <v>3513</v>
      </c>
      <c r="F25" s="6" t="s">
        <v>3517</v>
      </c>
      <c r="G25" s="6" t="str">
        <f>"17"</f>
        <v>17</v>
      </c>
      <c r="H25" s="6" t="str">
        <f>"37023"</f>
        <v>37023</v>
      </c>
      <c r="I25" s="6" t="s">
        <v>13</v>
      </c>
      <c r="J25" s="6" t="s">
        <v>927</v>
      </c>
      <c r="K25" s="6" t="s">
        <v>265</v>
      </c>
    </row>
    <row r="26" spans="1:11" ht="15" x14ac:dyDescent="0.25">
      <c r="A26" s="8">
        <v>22</v>
      </c>
      <c r="B26" s="8" t="s">
        <v>3518</v>
      </c>
      <c r="C26" s="8" t="s">
        <v>3519</v>
      </c>
      <c r="D26" s="8" t="s">
        <v>3460</v>
      </c>
      <c r="E26" s="8" t="s">
        <v>3513</v>
      </c>
      <c r="F26" s="8" t="s">
        <v>3517</v>
      </c>
      <c r="G26" s="8" t="str">
        <f>"7"</f>
        <v>7</v>
      </c>
      <c r="H26" s="8" t="str">
        <f>"37023"</f>
        <v>37023</v>
      </c>
      <c r="I26" s="8" t="s">
        <v>13</v>
      </c>
      <c r="J26" s="8" t="s">
        <v>925</v>
      </c>
      <c r="K26" s="8" t="s">
        <v>14</v>
      </c>
    </row>
    <row r="27" spans="1:11" ht="15" x14ac:dyDescent="0.25">
      <c r="A27" s="8">
        <v>23</v>
      </c>
      <c r="B27" s="8" t="s">
        <v>3520</v>
      </c>
      <c r="C27" s="8" t="s">
        <v>3521</v>
      </c>
      <c r="D27" s="8" t="s">
        <v>3460</v>
      </c>
      <c r="E27" s="8" t="s">
        <v>3522</v>
      </c>
      <c r="F27" s="8" t="s">
        <v>3523</v>
      </c>
      <c r="G27" s="8" t="str">
        <f>"24,"</f>
        <v>24,</v>
      </c>
      <c r="H27" s="8" t="str">
        <f>"37017"</f>
        <v>37017</v>
      </c>
      <c r="I27" s="8" t="s">
        <v>13</v>
      </c>
      <c r="J27" s="8" t="s">
        <v>925</v>
      </c>
      <c r="K27" s="8" t="s">
        <v>27</v>
      </c>
    </row>
    <row r="28" spans="1:11" ht="15" x14ac:dyDescent="0.25">
      <c r="A28" s="5">
        <v>24</v>
      </c>
      <c r="B28" s="5" t="s">
        <v>3524</v>
      </c>
      <c r="C28" s="5" t="s">
        <v>3525</v>
      </c>
      <c r="D28" s="5" t="s">
        <v>3460</v>
      </c>
      <c r="E28" s="5" t="s">
        <v>3526</v>
      </c>
      <c r="F28" s="5" t="s">
        <v>3527</v>
      </c>
      <c r="G28" s="5" t="str">
        <f>"3"</f>
        <v>3</v>
      </c>
      <c r="H28" s="5" t="str">
        <f t="shared" ref="H28:H35" si="1">"37045"</f>
        <v>37045</v>
      </c>
      <c r="I28" s="5" t="s">
        <v>13</v>
      </c>
      <c r="J28" s="5" t="s">
        <v>1771</v>
      </c>
      <c r="K28" s="5" t="s">
        <v>14</v>
      </c>
    </row>
    <row r="29" spans="1:11" ht="15" x14ac:dyDescent="0.25">
      <c r="A29" s="8">
        <v>25</v>
      </c>
      <c r="B29" s="8" t="s">
        <v>1107</v>
      </c>
      <c r="C29" s="8" t="s">
        <v>255</v>
      </c>
      <c r="D29" s="8" t="s">
        <v>3460</v>
      </c>
      <c r="E29" s="8" t="s">
        <v>3526</v>
      </c>
      <c r="F29" s="8" t="s">
        <v>3528</v>
      </c>
      <c r="G29" s="8" t="str">
        <f>"1"</f>
        <v>1</v>
      </c>
      <c r="H29" s="8" t="str">
        <f t="shared" si="1"/>
        <v>37045</v>
      </c>
      <c r="I29" s="8" t="s">
        <v>13</v>
      </c>
      <c r="J29" s="8" t="s">
        <v>925</v>
      </c>
      <c r="K29" s="8" t="s">
        <v>14</v>
      </c>
    </row>
    <row r="30" spans="1:11" ht="15" x14ac:dyDescent="0.25">
      <c r="A30" s="6">
        <v>26</v>
      </c>
      <c r="B30" s="6" t="s">
        <v>1265</v>
      </c>
      <c r="C30" s="6" t="s">
        <v>3529</v>
      </c>
      <c r="D30" s="6" t="s">
        <v>3460</v>
      </c>
      <c r="E30" s="6" t="s">
        <v>3526</v>
      </c>
      <c r="F30" s="6" t="s">
        <v>3530</v>
      </c>
      <c r="G30" s="6" t="str">
        <f>"SNC"</f>
        <v>SNC</v>
      </c>
      <c r="H30" s="6" t="str">
        <f t="shared" si="1"/>
        <v>37045</v>
      </c>
      <c r="I30" s="6" t="s">
        <v>13</v>
      </c>
      <c r="J30" s="6" t="s">
        <v>3462</v>
      </c>
      <c r="K30" s="6" t="s">
        <v>342</v>
      </c>
    </row>
    <row r="31" spans="1:11" ht="15" x14ac:dyDescent="0.25">
      <c r="A31" s="8">
        <v>27</v>
      </c>
      <c r="B31" s="8" t="s">
        <v>3531</v>
      </c>
      <c r="C31" s="8" t="s">
        <v>3532</v>
      </c>
      <c r="D31" s="8" t="s">
        <v>3460</v>
      </c>
      <c r="E31" s="8" t="s">
        <v>3526</v>
      </c>
      <c r="F31" s="8" t="s">
        <v>3533</v>
      </c>
      <c r="G31" s="8" t="str">
        <f>"13"</f>
        <v>13</v>
      </c>
      <c r="H31" s="8" t="str">
        <f t="shared" si="1"/>
        <v>37045</v>
      </c>
      <c r="I31" s="8" t="s">
        <v>13</v>
      </c>
      <c r="J31" s="8" t="s">
        <v>925</v>
      </c>
      <c r="K31" s="8" t="s">
        <v>265</v>
      </c>
    </row>
    <row r="32" spans="1:11" ht="15" x14ac:dyDescent="0.25">
      <c r="A32" s="6">
        <v>28</v>
      </c>
      <c r="B32" s="6" t="s">
        <v>3534</v>
      </c>
      <c r="C32" s="6" t="s">
        <v>3535</v>
      </c>
      <c r="D32" s="6" t="s">
        <v>3460</v>
      </c>
      <c r="E32" s="6" t="s">
        <v>3526</v>
      </c>
      <c r="F32" s="6" t="s">
        <v>3536</v>
      </c>
      <c r="G32" s="6" t="str">
        <f>"5"</f>
        <v>5</v>
      </c>
      <c r="H32" s="6" t="str">
        <f t="shared" si="1"/>
        <v>37045</v>
      </c>
      <c r="I32" s="6" t="s">
        <v>13</v>
      </c>
      <c r="J32" s="6" t="s">
        <v>927</v>
      </c>
      <c r="K32" s="6" t="s">
        <v>58</v>
      </c>
    </row>
    <row r="33" spans="1:11" ht="15" x14ac:dyDescent="0.25">
      <c r="A33" s="6">
        <v>29</v>
      </c>
      <c r="B33" s="6" t="s">
        <v>1584</v>
      </c>
      <c r="C33" s="6" t="s">
        <v>815</v>
      </c>
      <c r="D33" s="6" t="s">
        <v>3460</v>
      </c>
      <c r="E33" s="6" t="s">
        <v>3526</v>
      </c>
      <c r="F33" s="6" t="s">
        <v>3537</v>
      </c>
      <c r="G33" s="6" t="str">
        <f>"6"</f>
        <v>6</v>
      </c>
      <c r="H33" s="6" t="str">
        <f t="shared" si="1"/>
        <v>37045</v>
      </c>
      <c r="I33" s="6" t="s">
        <v>13</v>
      </c>
      <c r="J33" s="6" t="s">
        <v>927</v>
      </c>
      <c r="K33" s="6" t="s">
        <v>14</v>
      </c>
    </row>
    <row r="34" spans="1:11" ht="15" x14ac:dyDescent="0.25">
      <c r="A34" s="8">
        <v>30</v>
      </c>
      <c r="B34" s="8" t="s">
        <v>1494</v>
      </c>
      <c r="C34" s="8" t="s">
        <v>3538</v>
      </c>
      <c r="D34" s="8" t="s">
        <v>3460</v>
      </c>
      <c r="E34" s="8" t="s">
        <v>3526</v>
      </c>
      <c r="F34" s="8" t="s">
        <v>3539</v>
      </c>
      <c r="G34" s="8" t="str">
        <f>"1"</f>
        <v>1</v>
      </c>
      <c r="H34" s="8" t="str">
        <f t="shared" si="1"/>
        <v>37045</v>
      </c>
      <c r="I34" s="8" t="s">
        <v>13</v>
      </c>
      <c r="J34" s="8" t="s">
        <v>925</v>
      </c>
      <c r="K34" s="8" t="s">
        <v>14</v>
      </c>
    </row>
    <row r="35" spans="1:11" ht="15" x14ac:dyDescent="0.25">
      <c r="A35" s="8">
        <v>31</v>
      </c>
      <c r="B35" s="8" t="s">
        <v>3540</v>
      </c>
      <c r="C35" s="8" t="s">
        <v>3541</v>
      </c>
      <c r="D35" s="8" t="s">
        <v>3460</v>
      </c>
      <c r="E35" s="8" t="s">
        <v>3526</v>
      </c>
      <c r="F35" s="8" t="s">
        <v>2150</v>
      </c>
      <c r="G35" s="8" t="str">
        <f>"23"</f>
        <v>23</v>
      </c>
      <c r="H35" s="8" t="str">
        <f t="shared" si="1"/>
        <v>37045</v>
      </c>
      <c r="I35" s="8" t="s">
        <v>13</v>
      </c>
      <c r="J35" s="8" t="s">
        <v>925</v>
      </c>
      <c r="K35" s="8" t="s">
        <v>572</v>
      </c>
    </row>
    <row r="36" spans="1:11" ht="15" x14ac:dyDescent="0.25">
      <c r="A36" s="6">
        <v>32</v>
      </c>
      <c r="B36" s="6" t="s">
        <v>3480</v>
      </c>
      <c r="C36" s="6" t="s">
        <v>3481</v>
      </c>
      <c r="D36" s="6" t="s">
        <v>3460</v>
      </c>
      <c r="E36" s="6" t="s">
        <v>3542</v>
      </c>
      <c r="F36" s="6" t="s">
        <v>48</v>
      </c>
      <c r="G36" s="6" t="str">
        <f>"20/A"</f>
        <v>20/A</v>
      </c>
      <c r="H36" s="6" t="str">
        <f>"37060"</f>
        <v>37060</v>
      </c>
      <c r="I36" s="6" t="s">
        <v>13</v>
      </c>
      <c r="J36" s="6" t="s">
        <v>927</v>
      </c>
      <c r="K36" s="6" t="s">
        <v>224</v>
      </c>
    </row>
    <row r="37" spans="1:11" ht="15" x14ac:dyDescent="0.25">
      <c r="A37" s="8">
        <v>33</v>
      </c>
      <c r="B37" s="8" t="s">
        <v>3543</v>
      </c>
      <c r="C37" s="8" t="s">
        <v>3544</v>
      </c>
      <c r="D37" s="8" t="s">
        <v>3460</v>
      </c>
      <c r="E37" s="8" t="s">
        <v>3545</v>
      </c>
      <c r="F37" s="8" t="s">
        <v>3546</v>
      </c>
      <c r="G37" s="8" t="str">
        <f>"93"</f>
        <v>93</v>
      </c>
      <c r="H37" s="8" t="str">
        <f>"37054"</f>
        <v>37054</v>
      </c>
      <c r="I37" s="8" t="s">
        <v>13</v>
      </c>
      <c r="J37" s="8" t="s">
        <v>925</v>
      </c>
      <c r="K37" s="8" t="s">
        <v>848</v>
      </c>
    </row>
    <row r="38" spans="1:11" ht="15" x14ac:dyDescent="0.25">
      <c r="A38" s="6">
        <v>34</v>
      </c>
      <c r="B38" s="6" t="s">
        <v>2587</v>
      </c>
      <c r="C38" s="6" t="s">
        <v>3547</v>
      </c>
      <c r="D38" s="6" t="s">
        <v>3460</v>
      </c>
      <c r="E38" s="6" t="s">
        <v>3548</v>
      </c>
      <c r="F38" s="6" t="s">
        <v>3549</v>
      </c>
      <c r="G38" s="6" t="str">
        <f>"KM 240"</f>
        <v>KM 240</v>
      </c>
      <c r="H38" s="6" t="str">
        <f>"37060"</f>
        <v>37060</v>
      </c>
      <c r="I38" s="6" t="s">
        <v>13</v>
      </c>
      <c r="J38" s="6" t="s">
        <v>3462</v>
      </c>
      <c r="K38" s="6" t="s">
        <v>14</v>
      </c>
    </row>
    <row r="39" spans="1:11" x14ac:dyDescent="0.3">
      <c r="A39" s="6">
        <v>35</v>
      </c>
      <c r="B39" s="6" t="s">
        <v>3550</v>
      </c>
      <c r="C39" s="6" t="s">
        <v>37</v>
      </c>
      <c r="D39" s="6" t="s">
        <v>3460</v>
      </c>
      <c r="E39" s="6" t="s">
        <v>3548</v>
      </c>
      <c r="F39" s="6" t="s">
        <v>3551</v>
      </c>
      <c r="G39" s="6" t="str">
        <f>"23"</f>
        <v>23</v>
      </c>
      <c r="H39" s="6" t="str">
        <f>"37060"</f>
        <v>37060</v>
      </c>
      <c r="I39" s="6" t="s">
        <v>13</v>
      </c>
      <c r="J39" s="6" t="s">
        <v>927</v>
      </c>
      <c r="K39" s="6" t="s">
        <v>195</v>
      </c>
    </row>
    <row r="40" spans="1:11" x14ac:dyDescent="0.3">
      <c r="A40" s="6">
        <v>36</v>
      </c>
      <c r="B40" s="6" t="s">
        <v>1584</v>
      </c>
      <c r="C40" s="6" t="s">
        <v>815</v>
      </c>
      <c r="D40" s="6" t="s">
        <v>3460</v>
      </c>
      <c r="E40" s="6" t="s">
        <v>3552</v>
      </c>
      <c r="F40" s="6" t="s">
        <v>3553</v>
      </c>
      <c r="G40" s="6" t="str">
        <f>"15"</f>
        <v>15</v>
      </c>
      <c r="H40" s="6" t="str">
        <f>"37026"</f>
        <v>37026</v>
      </c>
      <c r="I40" s="6" t="s">
        <v>13</v>
      </c>
      <c r="J40" s="6" t="s">
        <v>927</v>
      </c>
      <c r="K40" s="6" t="s">
        <v>14</v>
      </c>
    </row>
    <row r="41" spans="1:11" x14ac:dyDescent="0.3">
      <c r="A41" s="8">
        <v>37</v>
      </c>
      <c r="B41" s="8" t="s">
        <v>3554</v>
      </c>
      <c r="C41" s="8" t="s">
        <v>3555</v>
      </c>
      <c r="D41" s="8" t="s">
        <v>3460</v>
      </c>
      <c r="E41" s="8" t="s">
        <v>3552</v>
      </c>
      <c r="F41" s="8" t="s">
        <v>3556</v>
      </c>
      <c r="G41" s="8" t="str">
        <f>"1"</f>
        <v>1</v>
      </c>
      <c r="H41" s="8" t="str">
        <f>"37026"</f>
        <v>37026</v>
      </c>
      <c r="I41" s="8" t="s">
        <v>13</v>
      </c>
      <c r="J41" s="8" t="s">
        <v>925</v>
      </c>
      <c r="K41" s="8" t="s">
        <v>848</v>
      </c>
    </row>
    <row r="42" spans="1:11" x14ac:dyDescent="0.3">
      <c r="A42" s="6">
        <v>38</v>
      </c>
      <c r="B42" s="6" t="s">
        <v>931</v>
      </c>
      <c r="C42" s="6" t="s">
        <v>54</v>
      </c>
      <c r="D42" s="6" t="s">
        <v>3460</v>
      </c>
      <c r="E42" s="6" t="s">
        <v>3557</v>
      </c>
      <c r="F42" s="6" t="s">
        <v>3558</v>
      </c>
      <c r="G42" s="6" t="str">
        <f>"3"</f>
        <v>3</v>
      </c>
      <c r="H42" s="6" t="str">
        <f>"37019"</f>
        <v>37019</v>
      </c>
      <c r="I42" s="6" t="s">
        <v>13</v>
      </c>
      <c r="J42" s="6" t="s">
        <v>927</v>
      </c>
      <c r="K42" s="6" t="s">
        <v>14</v>
      </c>
    </row>
    <row r="43" spans="1:11" x14ac:dyDescent="0.3">
      <c r="A43" s="6">
        <v>39</v>
      </c>
      <c r="B43" s="6" t="s">
        <v>1010</v>
      </c>
      <c r="C43" s="6" t="s">
        <v>110</v>
      </c>
      <c r="D43" s="6" t="s">
        <v>3460</v>
      </c>
      <c r="E43" s="6" t="s">
        <v>3557</v>
      </c>
      <c r="F43" s="6" t="s">
        <v>3559</v>
      </c>
      <c r="G43" s="6" t="str">
        <f>"1"</f>
        <v>1</v>
      </c>
      <c r="H43" s="6" t="str">
        <f>"37019"</f>
        <v>37019</v>
      </c>
      <c r="I43" s="6" t="s">
        <v>13</v>
      </c>
      <c r="J43" s="6" t="s">
        <v>927</v>
      </c>
      <c r="K43" s="6" t="s">
        <v>14</v>
      </c>
    </row>
    <row r="44" spans="1:11" x14ac:dyDescent="0.3">
      <c r="A44" s="6">
        <v>40</v>
      </c>
      <c r="B44" s="6" t="s">
        <v>1010</v>
      </c>
      <c r="C44" s="6" t="s">
        <v>110</v>
      </c>
      <c r="D44" s="6" t="s">
        <v>3460</v>
      </c>
      <c r="E44" s="6" t="s">
        <v>3557</v>
      </c>
      <c r="F44" s="6" t="s">
        <v>3560</v>
      </c>
      <c r="G44" s="6" t="str">
        <f>"SNC"</f>
        <v>SNC</v>
      </c>
      <c r="H44" s="6" t="str">
        <f>"37019"</f>
        <v>37019</v>
      </c>
      <c r="I44" s="6" t="s">
        <v>13</v>
      </c>
      <c r="J44" s="6" t="s">
        <v>927</v>
      </c>
      <c r="K44" s="6" t="s">
        <v>14</v>
      </c>
    </row>
    <row r="45" spans="1:11" x14ac:dyDescent="0.3">
      <c r="A45" s="6">
        <v>41</v>
      </c>
      <c r="B45" s="6" t="s">
        <v>2273</v>
      </c>
      <c r="C45" s="6" t="s">
        <v>2829</v>
      </c>
      <c r="D45" s="6" t="s">
        <v>3460</v>
      </c>
      <c r="E45" s="6" t="s">
        <v>3557</v>
      </c>
      <c r="F45" s="6" t="s">
        <v>3558</v>
      </c>
      <c r="G45" s="6" t="str">
        <f>"4"</f>
        <v>4</v>
      </c>
      <c r="H45" s="6" t="str">
        <f>"37019"</f>
        <v>37019</v>
      </c>
      <c r="I45" s="6" t="s">
        <v>13</v>
      </c>
      <c r="J45" s="6" t="s">
        <v>927</v>
      </c>
      <c r="K45" s="6" t="s">
        <v>14</v>
      </c>
    </row>
    <row r="46" spans="1:11" x14ac:dyDescent="0.3">
      <c r="A46" s="6">
        <v>42</v>
      </c>
      <c r="B46" s="6" t="s">
        <v>931</v>
      </c>
      <c r="C46" s="6" t="s">
        <v>54</v>
      </c>
      <c r="D46" s="6" t="s">
        <v>3460</v>
      </c>
      <c r="E46" s="6" t="s">
        <v>3561</v>
      </c>
      <c r="F46" s="6" t="s">
        <v>3562</v>
      </c>
      <c r="G46" s="6" t="str">
        <f>"47"</f>
        <v>47</v>
      </c>
      <c r="H46" s="6" t="str">
        <f t="shared" ref="H46:H51" si="2">"37047"</f>
        <v>37047</v>
      </c>
      <c r="I46" s="6" t="s">
        <v>13</v>
      </c>
      <c r="J46" s="6" t="s">
        <v>927</v>
      </c>
      <c r="K46" s="6" t="s">
        <v>14</v>
      </c>
    </row>
    <row r="47" spans="1:11" x14ac:dyDescent="0.3">
      <c r="A47" s="6">
        <v>43</v>
      </c>
      <c r="B47" s="6" t="s">
        <v>3563</v>
      </c>
      <c r="C47" s="6" t="s">
        <v>3564</v>
      </c>
      <c r="D47" s="6" t="s">
        <v>3460</v>
      </c>
      <c r="E47" s="6" t="s">
        <v>3561</v>
      </c>
      <c r="F47" s="6" t="s">
        <v>3565</v>
      </c>
      <c r="G47" s="6" t="str">
        <f>"47"</f>
        <v>47</v>
      </c>
      <c r="H47" s="6" t="str">
        <f t="shared" si="2"/>
        <v>37047</v>
      </c>
      <c r="I47" s="6" t="s">
        <v>13</v>
      </c>
      <c r="J47" s="6" t="s">
        <v>3462</v>
      </c>
      <c r="K47" s="6" t="s">
        <v>43</v>
      </c>
    </row>
    <row r="48" spans="1:11" x14ac:dyDescent="0.3">
      <c r="A48" s="6">
        <v>44</v>
      </c>
      <c r="B48" s="6" t="s">
        <v>1957</v>
      </c>
      <c r="C48" s="6" t="s">
        <v>1958</v>
      </c>
      <c r="D48" s="6" t="s">
        <v>3460</v>
      </c>
      <c r="E48" s="6" t="s">
        <v>3561</v>
      </c>
      <c r="F48" s="6" t="s">
        <v>877</v>
      </c>
      <c r="G48" s="6" t="str">
        <f>"75/F"</f>
        <v>75/F</v>
      </c>
      <c r="H48" s="6" t="str">
        <f t="shared" si="2"/>
        <v>37047</v>
      </c>
      <c r="I48" s="6" t="s">
        <v>13</v>
      </c>
      <c r="J48" s="6" t="s">
        <v>3462</v>
      </c>
      <c r="K48" s="6" t="s">
        <v>20</v>
      </c>
    </row>
    <row r="49" spans="1:11" x14ac:dyDescent="0.3">
      <c r="A49" s="8">
        <v>45</v>
      </c>
      <c r="B49" s="8" t="s">
        <v>3566</v>
      </c>
      <c r="C49" s="8" t="s">
        <v>1830</v>
      </c>
      <c r="D49" s="8" t="s">
        <v>3460</v>
      </c>
      <c r="E49" s="8" t="s">
        <v>3561</v>
      </c>
      <c r="F49" s="8" t="s">
        <v>877</v>
      </c>
      <c r="G49" s="8" t="str">
        <f>"75"</f>
        <v>75</v>
      </c>
      <c r="H49" s="8" t="str">
        <f t="shared" si="2"/>
        <v>37047</v>
      </c>
      <c r="I49" s="8" t="s">
        <v>13</v>
      </c>
      <c r="J49" s="8" t="s">
        <v>925</v>
      </c>
      <c r="K49" s="8" t="s">
        <v>43</v>
      </c>
    </row>
    <row r="50" spans="1:11" x14ac:dyDescent="0.3">
      <c r="A50" s="8">
        <v>46</v>
      </c>
      <c r="B50" s="8" t="s">
        <v>3567</v>
      </c>
      <c r="C50" s="8" t="s">
        <v>3568</v>
      </c>
      <c r="D50" s="8" t="s">
        <v>3460</v>
      </c>
      <c r="E50" s="8" t="s">
        <v>3561</v>
      </c>
      <c r="F50" s="8" t="s">
        <v>3569</v>
      </c>
      <c r="G50" s="8" t="str">
        <f>"151"</f>
        <v>151</v>
      </c>
      <c r="H50" s="8" t="str">
        <f t="shared" si="2"/>
        <v>37047</v>
      </c>
      <c r="I50" s="8" t="s">
        <v>13</v>
      </c>
      <c r="J50" s="8" t="s">
        <v>925</v>
      </c>
      <c r="K50" s="8" t="s">
        <v>20</v>
      </c>
    </row>
    <row r="51" spans="1:11" x14ac:dyDescent="0.3">
      <c r="A51" s="8">
        <v>47</v>
      </c>
      <c r="B51" s="8" t="s">
        <v>3570</v>
      </c>
      <c r="C51" s="8" t="s">
        <v>3571</v>
      </c>
      <c r="D51" s="8" t="s">
        <v>3460</v>
      </c>
      <c r="E51" s="8" t="s">
        <v>3561</v>
      </c>
      <c r="F51" s="8" t="s">
        <v>3572</v>
      </c>
      <c r="G51" s="8" t="str">
        <f>"32"</f>
        <v>32</v>
      </c>
      <c r="H51" s="8" t="str">
        <f t="shared" si="2"/>
        <v>37047</v>
      </c>
      <c r="I51" s="8" t="s">
        <v>13</v>
      </c>
      <c r="J51" s="8" t="s">
        <v>925</v>
      </c>
      <c r="K51" s="8" t="s">
        <v>58</v>
      </c>
    </row>
    <row r="52" spans="1:11" x14ac:dyDescent="0.3">
      <c r="A52" s="5">
        <v>48</v>
      </c>
      <c r="B52" s="5" t="s">
        <v>3524</v>
      </c>
      <c r="C52" s="5" t="s">
        <v>3525</v>
      </c>
      <c r="D52" s="5" t="s">
        <v>3460</v>
      </c>
      <c r="E52" s="5" t="s">
        <v>3573</v>
      </c>
      <c r="F52" s="5" t="s">
        <v>3574</v>
      </c>
      <c r="G52" s="5" t="str">
        <f>"35"</f>
        <v>35</v>
      </c>
      <c r="H52" s="5" t="str">
        <f>"37057"</f>
        <v>37057</v>
      </c>
      <c r="I52" s="5" t="s">
        <v>13</v>
      </c>
      <c r="J52" s="5" t="s">
        <v>1771</v>
      </c>
      <c r="K52" s="5" t="s">
        <v>14</v>
      </c>
    </row>
    <row r="53" spans="1:11" x14ac:dyDescent="0.3">
      <c r="A53" s="8">
        <v>49</v>
      </c>
      <c r="B53" s="8" t="s">
        <v>3575</v>
      </c>
      <c r="C53" s="8" t="s">
        <v>3576</v>
      </c>
      <c r="D53" s="8" t="s">
        <v>3460</v>
      </c>
      <c r="E53" s="8" t="s">
        <v>3573</v>
      </c>
      <c r="F53" s="8" t="s">
        <v>53</v>
      </c>
      <c r="G53" s="8" t="str">
        <f>"266"</f>
        <v>266</v>
      </c>
      <c r="H53" s="8" t="str">
        <f>"37057"</f>
        <v>37057</v>
      </c>
      <c r="I53" s="8" t="s">
        <v>13</v>
      </c>
      <c r="J53" s="8" t="s">
        <v>925</v>
      </c>
      <c r="K53" s="8" t="s">
        <v>14</v>
      </c>
    </row>
    <row r="54" spans="1:11" x14ac:dyDescent="0.3">
      <c r="A54" s="8">
        <v>50</v>
      </c>
      <c r="B54" s="8" t="s">
        <v>3577</v>
      </c>
      <c r="C54" s="8" t="s">
        <v>3578</v>
      </c>
      <c r="D54" s="8" t="s">
        <v>3460</v>
      </c>
      <c r="E54" s="8" t="s">
        <v>3573</v>
      </c>
      <c r="F54" s="8" t="s">
        <v>3574</v>
      </c>
      <c r="G54" s="8" t="str">
        <f>"4/E"</f>
        <v>4/E</v>
      </c>
      <c r="H54" s="8" t="str">
        <f>"37057"</f>
        <v>37057</v>
      </c>
      <c r="I54" s="8" t="s">
        <v>13</v>
      </c>
      <c r="J54" s="8" t="s">
        <v>925</v>
      </c>
      <c r="K54" s="8" t="s">
        <v>265</v>
      </c>
    </row>
    <row r="55" spans="1:11" x14ac:dyDescent="0.3">
      <c r="A55" s="8">
        <v>51</v>
      </c>
      <c r="B55" s="8" t="s">
        <v>2364</v>
      </c>
      <c r="C55" s="8" t="s">
        <v>2365</v>
      </c>
      <c r="D55" s="8" t="s">
        <v>3460</v>
      </c>
      <c r="E55" s="8" t="s">
        <v>3573</v>
      </c>
      <c r="F55" s="8" t="s">
        <v>3579</v>
      </c>
      <c r="G55" s="8" t="str">
        <f>"1"</f>
        <v>1</v>
      </c>
      <c r="H55" s="8" t="str">
        <f>"37057"</f>
        <v>37057</v>
      </c>
      <c r="I55" s="8" t="s">
        <v>13</v>
      </c>
      <c r="J55" s="8" t="s">
        <v>925</v>
      </c>
      <c r="K55" s="8" t="s">
        <v>20</v>
      </c>
    </row>
    <row r="56" spans="1:11" x14ac:dyDescent="0.3">
      <c r="A56" s="6">
        <v>52</v>
      </c>
      <c r="B56" s="6" t="s">
        <v>3487</v>
      </c>
      <c r="C56" s="6" t="s">
        <v>3488</v>
      </c>
      <c r="D56" s="6" t="s">
        <v>3460</v>
      </c>
      <c r="E56" s="6" t="s">
        <v>3573</v>
      </c>
      <c r="F56" s="6" t="s">
        <v>3580</v>
      </c>
      <c r="G56" s="6" t="str">
        <f>"70"</f>
        <v>70</v>
      </c>
      <c r="H56" s="6" t="str">
        <f>"37057"</f>
        <v>37057</v>
      </c>
      <c r="I56" s="6" t="s">
        <v>13</v>
      </c>
      <c r="J56" s="6" t="s">
        <v>927</v>
      </c>
      <c r="K56" s="6" t="s">
        <v>14</v>
      </c>
    </row>
    <row r="57" spans="1:11" x14ac:dyDescent="0.3">
      <c r="A57" s="6">
        <v>53</v>
      </c>
      <c r="B57" s="6" t="s">
        <v>931</v>
      </c>
      <c r="C57" s="6" t="s">
        <v>9</v>
      </c>
      <c r="D57" s="6" t="s">
        <v>3460</v>
      </c>
      <c r="E57" s="6" t="s">
        <v>3581</v>
      </c>
      <c r="F57" s="6" t="s">
        <v>3582</v>
      </c>
      <c r="G57" s="6" t="str">
        <f>"SNC"</f>
        <v>SNC</v>
      </c>
      <c r="H57" s="6" t="str">
        <f t="shared" ref="H57:H63" si="3">"37036"</f>
        <v>37036</v>
      </c>
      <c r="I57" s="6" t="s">
        <v>13</v>
      </c>
      <c r="J57" s="6" t="s">
        <v>927</v>
      </c>
      <c r="K57" s="6" t="s">
        <v>14</v>
      </c>
    </row>
    <row r="58" spans="1:11" x14ac:dyDescent="0.3">
      <c r="A58" s="8">
        <v>54</v>
      </c>
      <c r="B58" s="8" t="s">
        <v>2607</v>
      </c>
      <c r="C58" s="8" t="s">
        <v>3583</v>
      </c>
      <c r="D58" s="8" t="s">
        <v>3460</v>
      </c>
      <c r="E58" s="8" t="s">
        <v>3581</v>
      </c>
      <c r="F58" s="8" t="s">
        <v>3584</v>
      </c>
      <c r="G58" s="8" t="str">
        <f t="shared" ref="G58:G63" si="4">"1"</f>
        <v>1</v>
      </c>
      <c r="H58" s="8" t="str">
        <f t="shared" si="3"/>
        <v>37036</v>
      </c>
      <c r="I58" s="8" t="s">
        <v>13</v>
      </c>
      <c r="J58" s="8" t="s">
        <v>925</v>
      </c>
      <c r="K58" s="8" t="s">
        <v>14</v>
      </c>
    </row>
    <row r="59" spans="1:11" x14ac:dyDescent="0.3">
      <c r="A59" s="8">
        <v>55</v>
      </c>
      <c r="B59" s="8" t="s">
        <v>2607</v>
      </c>
      <c r="C59" s="8" t="s">
        <v>3585</v>
      </c>
      <c r="D59" s="8" t="s">
        <v>3460</v>
      </c>
      <c r="E59" s="8" t="s">
        <v>3581</v>
      </c>
      <c r="F59" s="8" t="s">
        <v>3584</v>
      </c>
      <c r="G59" s="8" t="str">
        <f t="shared" si="4"/>
        <v>1</v>
      </c>
      <c r="H59" s="8" t="str">
        <f t="shared" si="3"/>
        <v>37036</v>
      </c>
      <c r="I59" s="8" t="s">
        <v>13</v>
      </c>
      <c r="J59" s="8" t="s">
        <v>925</v>
      </c>
      <c r="K59" s="8" t="s">
        <v>14</v>
      </c>
    </row>
    <row r="60" spans="1:11" x14ac:dyDescent="0.3">
      <c r="A60" s="6">
        <v>56</v>
      </c>
      <c r="B60" s="6" t="s">
        <v>2607</v>
      </c>
      <c r="C60" s="6" t="s">
        <v>3586</v>
      </c>
      <c r="D60" s="6" t="s">
        <v>3460</v>
      </c>
      <c r="E60" s="6" t="s">
        <v>3581</v>
      </c>
      <c r="F60" s="6" t="s">
        <v>3584</v>
      </c>
      <c r="G60" s="6" t="str">
        <f t="shared" si="4"/>
        <v>1</v>
      </c>
      <c r="H60" s="6" t="str">
        <f t="shared" si="3"/>
        <v>37036</v>
      </c>
      <c r="I60" s="6" t="s">
        <v>13</v>
      </c>
      <c r="J60" s="6" t="s">
        <v>3462</v>
      </c>
      <c r="K60" s="6" t="s">
        <v>14</v>
      </c>
    </row>
    <row r="61" spans="1:11" x14ac:dyDescent="0.3">
      <c r="A61" s="6">
        <v>57</v>
      </c>
      <c r="B61" s="6" t="s">
        <v>2607</v>
      </c>
      <c r="C61" s="6" t="s">
        <v>3587</v>
      </c>
      <c r="D61" s="6" t="s">
        <v>3460</v>
      </c>
      <c r="E61" s="6" t="s">
        <v>3581</v>
      </c>
      <c r="F61" s="6" t="s">
        <v>3584</v>
      </c>
      <c r="G61" s="6" t="str">
        <f t="shared" si="4"/>
        <v>1</v>
      </c>
      <c r="H61" s="6" t="str">
        <f t="shared" si="3"/>
        <v>37036</v>
      </c>
      <c r="I61" s="6" t="s">
        <v>13</v>
      </c>
      <c r="J61" s="6" t="s">
        <v>3462</v>
      </c>
      <c r="K61" s="6" t="s">
        <v>14</v>
      </c>
    </row>
    <row r="62" spans="1:11" x14ac:dyDescent="0.3">
      <c r="A62" s="8">
        <v>58</v>
      </c>
      <c r="B62" s="8" t="s">
        <v>2364</v>
      </c>
      <c r="C62" s="8" t="s">
        <v>2365</v>
      </c>
      <c r="D62" s="8" t="s">
        <v>3460</v>
      </c>
      <c r="E62" s="8" t="s">
        <v>3581</v>
      </c>
      <c r="F62" s="8" t="s">
        <v>3584</v>
      </c>
      <c r="G62" s="8" t="str">
        <f t="shared" si="4"/>
        <v>1</v>
      </c>
      <c r="H62" s="8" t="str">
        <f t="shared" si="3"/>
        <v>37036</v>
      </c>
      <c r="I62" s="8" t="s">
        <v>13</v>
      </c>
      <c r="J62" s="8" t="s">
        <v>925</v>
      </c>
      <c r="K62" s="8" t="s">
        <v>20</v>
      </c>
    </row>
    <row r="63" spans="1:11" x14ac:dyDescent="0.3">
      <c r="A63" s="6">
        <v>59</v>
      </c>
      <c r="B63" s="6" t="s">
        <v>2249</v>
      </c>
      <c r="C63" s="6" t="s">
        <v>3588</v>
      </c>
      <c r="D63" s="6" t="s">
        <v>3460</v>
      </c>
      <c r="E63" s="6" t="s">
        <v>3581</v>
      </c>
      <c r="F63" s="6" t="s">
        <v>3584</v>
      </c>
      <c r="G63" s="6" t="str">
        <f t="shared" si="4"/>
        <v>1</v>
      </c>
      <c r="H63" s="6" t="str">
        <f t="shared" si="3"/>
        <v>37036</v>
      </c>
      <c r="I63" s="6" t="s">
        <v>13</v>
      </c>
      <c r="J63" s="6" t="s">
        <v>3462</v>
      </c>
      <c r="K63" s="6" t="s">
        <v>14</v>
      </c>
    </row>
    <row r="64" spans="1:11" x14ac:dyDescent="0.3">
      <c r="A64" s="6">
        <v>60</v>
      </c>
      <c r="B64" s="6" t="s">
        <v>3589</v>
      </c>
      <c r="C64" s="6" t="s">
        <v>3590</v>
      </c>
      <c r="D64" s="6" t="s">
        <v>3460</v>
      </c>
      <c r="E64" s="6" t="s">
        <v>3591</v>
      </c>
      <c r="F64" s="6" t="s">
        <v>3592</v>
      </c>
      <c r="G64" s="6" t="str">
        <f>"15"</f>
        <v>15</v>
      </c>
      <c r="H64" s="6" t="str">
        <f>"37029"</f>
        <v>37029</v>
      </c>
      <c r="I64" s="6" t="s">
        <v>13</v>
      </c>
      <c r="J64" s="6" t="s">
        <v>927</v>
      </c>
      <c r="K64" s="6" t="s">
        <v>20</v>
      </c>
    </row>
    <row r="65" spans="1:11" x14ac:dyDescent="0.3">
      <c r="A65" s="6">
        <v>61</v>
      </c>
      <c r="B65" s="6" t="s">
        <v>3480</v>
      </c>
      <c r="C65" s="6" t="s">
        <v>3481</v>
      </c>
      <c r="D65" s="6" t="s">
        <v>3460</v>
      </c>
      <c r="E65" s="6" t="s">
        <v>3591</v>
      </c>
      <c r="F65" s="6" t="s">
        <v>3593</v>
      </c>
      <c r="G65" s="6" t="str">
        <f>"93"</f>
        <v>93</v>
      </c>
      <c r="H65" s="6" t="str">
        <f>"37029"</f>
        <v>37029</v>
      </c>
      <c r="I65" s="6" t="s">
        <v>13</v>
      </c>
      <c r="J65" s="6" t="s">
        <v>927</v>
      </c>
      <c r="K65" s="6" t="s">
        <v>14</v>
      </c>
    </row>
    <row r="66" spans="1:11" x14ac:dyDescent="0.3">
      <c r="A66" s="8">
        <v>62</v>
      </c>
      <c r="B66" s="8" t="s">
        <v>3594</v>
      </c>
      <c r="C66" s="8" t="s">
        <v>3595</v>
      </c>
      <c r="D66" s="8" t="s">
        <v>3460</v>
      </c>
      <c r="E66" s="8" t="s">
        <v>3596</v>
      </c>
      <c r="F66" s="8" t="s">
        <v>3597</v>
      </c>
      <c r="G66" s="8" t="str">
        <f>"12"</f>
        <v>12</v>
      </c>
      <c r="H66" s="8" t="str">
        <f>"37015"</f>
        <v>37015</v>
      </c>
      <c r="I66" s="8" t="s">
        <v>13</v>
      </c>
      <c r="J66" s="8" t="s">
        <v>925</v>
      </c>
      <c r="K66" s="8" t="s">
        <v>98</v>
      </c>
    </row>
    <row r="67" spans="1:11" x14ac:dyDescent="0.3">
      <c r="A67" s="8">
        <v>63</v>
      </c>
      <c r="B67" s="8" t="s">
        <v>3598</v>
      </c>
      <c r="C67" s="8" t="s">
        <v>3599</v>
      </c>
      <c r="D67" s="8" t="s">
        <v>3460</v>
      </c>
      <c r="E67" s="8" t="s">
        <v>3596</v>
      </c>
      <c r="F67" s="8" t="s">
        <v>1843</v>
      </c>
      <c r="G67" s="8" t="str">
        <f>"23"</f>
        <v>23</v>
      </c>
      <c r="H67" s="8" t="str">
        <f>"37015"</f>
        <v>37015</v>
      </c>
      <c r="I67" s="8" t="s">
        <v>13</v>
      </c>
      <c r="J67" s="8" t="s">
        <v>925</v>
      </c>
      <c r="K67" s="8" t="s">
        <v>20</v>
      </c>
    </row>
    <row r="68" spans="1:11" x14ac:dyDescent="0.3">
      <c r="A68" s="6">
        <v>64</v>
      </c>
      <c r="B68" s="6" t="s">
        <v>3480</v>
      </c>
      <c r="C68" s="6" t="s">
        <v>3481</v>
      </c>
      <c r="D68" s="6" t="s">
        <v>3460</v>
      </c>
      <c r="E68" s="6" t="s">
        <v>3596</v>
      </c>
      <c r="F68" s="6" t="s">
        <v>23</v>
      </c>
      <c r="G68" s="6" t="str">
        <f>"4"</f>
        <v>4</v>
      </c>
      <c r="H68" s="6" t="str">
        <f>"37015"</f>
        <v>37015</v>
      </c>
      <c r="I68" s="6" t="s">
        <v>13</v>
      </c>
      <c r="J68" s="6" t="s">
        <v>927</v>
      </c>
      <c r="K68" s="6" t="s">
        <v>14</v>
      </c>
    </row>
    <row r="69" spans="1:11" x14ac:dyDescent="0.3">
      <c r="A69" s="6">
        <v>65</v>
      </c>
      <c r="B69" s="6" t="s">
        <v>3600</v>
      </c>
      <c r="C69" s="6" t="s">
        <v>3601</v>
      </c>
      <c r="D69" s="6" t="s">
        <v>3460</v>
      </c>
      <c r="E69" s="6" t="s">
        <v>3602</v>
      </c>
      <c r="F69" s="6" t="s">
        <v>470</v>
      </c>
      <c r="G69" s="6" t="str">
        <f>"8"</f>
        <v>8</v>
      </c>
      <c r="H69" s="6" t="str">
        <f>"37038"</f>
        <v>37038</v>
      </c>
      <c r="I69" s="6" t="s">
        <v>13</v>
      </c>
      <c r="J69" s="6" t="s">
        <v>927</v>
      </c>
      <c r="K69" s="6" t="s">
        <v>115</v>
      </c>
    </row>
    <row r="70" spans="1:11" x14ac:dyDescent="0.3">
      <c r="A70" s="8">
        <v>66</v>
      </c>
      <c r="B70" s="8" t="s">
        <v>3603</v>
      </c>
      <c r="C70" s="8" t="s">
        <v>3604</v>
      </c>
      <c r="D70" s="8" t="s">
        <v>3460</v>
      </c>
      <c r="E70" s="8" t="s">
        <v>3605</v>
      </c>
      <c r="F70" s="8" t="s">
        <v>3606</v>
      </c>
      <c r="G70" s="8" t="str">
        <f>"SNC"</f>
        <v>SNC</v>
      </c>
      <c r="H70" s="8" t="str">
        <f>"37066"</f>
        <v>37066</v>
      </c>
      <c r="I70" s="8" t="s">
        <v>13</v>
      </c>
      <c r="J70" s="8" t="s">
        <v>925</v>
      </c>
      <c r="K70" s="8" t="s">
        <v>14</v>
      </c>
    </row>
    <row r="71" spans="1:11" x14ac:dyDescent="0.3">
      <c r="A71" s="8">
        <v>67</v>
      </c>
      <c r="B71" s="8" t="s">
        <v>3607</v>
      </c>
      <c r="C71" s="8" t="s">
        <v>3608</v>
      </c>
      <c r="D71" s="8" t="s">
        <v>3460</v>
      </c>
      <c r="E71" s="8" t="s">
        <v>3605</v>
      </c>
      <c r="F71" s="8" t="s">
        <v>87</v>
      </c>
      <c r="G71" s="8" t="str">
        <f>"10/9"</f>
        <v>10/9</v>
      </c>
      <c r="H71" s="8" t="str">
        <f>"37066"</f>
        <v>37066</v>
      </c>
      <c r="I71" s="8" t="s">
        <v>13</v>
      </c>
      <c r="J71" s="8" t="s">
        <v>925</v>
      </c>
      <c r="K71" s="8" t="s">
        <v>14</v>
      </c>
    </row>
    <row r="72" spans="1:11" x14ac:dyDescent="0.3">
      <c r="A72" s="8">
        <v>68</v>
      </c>
      <c r="B72" s="8" t="s">
        <v>3609</v>
      </c>
      <c r="C72" s="8" t="s">
        <v>3610</v>
      </c>
      <c r="D72" s="8" t="s">
        <v>3460</v>
      </c>
      <c r="E72" s="8" t="s">
        <v>3605</v>
      </c>
      <c r="F72" s="8" t="s">
        <v>3611</v>
      </c>
      <c r="G72" s="8" t="str">
        <f>"20/C"</f>
        <v>20/C</v>
      </c>
      <c r="H72" s="8" t="str">
        <f>"37066"</f>
        <v>37066</v>
      </c>
      <c r="I72" s="8" t="s">
        <v>13</v>
      </c>
      <c r="J72" s="8" t="s">
        <v>925</v>
      </c>
      <c r="K72" s="8" t="s">
        <v>3612</v>
      </c>
    </row>
    <row r="73" spans="1:11" x14ac:dyDescent="0.3">
      <c r="A73" s="8">
        <v>69</v>
      </c>
      <c r="B73" s="8" t="s">
        <v>3613</v>
      </c>
      <c r="C73" s="8" t="s">
        <v>3614</v>
      </c>
      <c r="D73" s="8" t="s">
        <v>3460</v>
      </c>
      <c r="E73" s="8" t="s">
        <v>3605</v>
      </c>
      <c r="F73" s="8" t="s">
        <v>3482</v>
      </c>
      <c r="G73" s="8" t="str">
        <f>"15"</f>
        <v>15</v>
      </c>
      <c r="H73" s="8" t="str">
        <f>"37066"</f>
        <v>37066</v>
      </c>
      <c r="I73" s="8" t="s">
        <v>13</v>
      </c>
      <c r="J73" s="8" t="s">
        <v>925</v>
      </c>
      <c r="K73" s="8" t="s">
        <v>3615</v>
      </c>
    </row>
    <row r="74" spans="1:11" x14ac:dyDescent="0.3">
      <c r="A74" s="6">
        <v>70</v>
      </c>
      <c r="B74" s="6" t="s">
        <v>2587</v>
      </c>
      <c r="C74" s="6" t="s">
        <v>3616</v>
      </c>
      <c r="D74" s="6" t="s">
        <v>3460</v>
      </c>
      <c r="E74" s="6" t="s">
        <v>3617</v>
      </c>
      <c r="F74" s="6" t="s">
        <v>3618</v>
      </c>
      <c r="G74" s="6" t="str">
        <f t="shared" ref="G74:G79" si="5">"1"</f>
        <v>1</v>
      </c>
      <c r="H74" s="6" t="str">
        <f t="shared" ref="H74:H81" si="6">"37060"</f>
        <v>37060</v>
      </c>
      <c r="I74" s="6" t="s">
        <v>13</v>
      </c>
      <c r="J74" s="6" t="s">
        <v>3462</v>
      </c>
      <c r="K74" s="6" t="s">
        <v>14</v>
      </c>
    </row>
    <row r="75" spans="1:11" x14ac:dyDescent="0.3">
      <c r="A75" s="6">
        <v>71</v>
      </c>
      <c r="B75" s="6" t="s">
        <v>2587</v>
      </c>
      <c r="C75" s="6" t="s">
        <v>3619</v>
      </c>
      <c r="D75" s="6" t="s">
        <v>3460</v>
      </c>
      <c r="E75" s="6" t="s">
        <v>3617</v>
      </c>
      <c r="F75" s="6" t="s">
        <v>3618</v>
      </c>
      <c r="G75" s="6" t="str">
        <f t="shared" si="5"/>
        <v>1</v>
      </c>
      <c r="H75" s="6" t="str">
        <f t="shared" si="6"/>
        <v>37060</v>
      </c>
      <c r="I75" s="6" t="s">
        <v>13</v>
      </c>
      <c r="J75" s="6" t="s">
        <v>3462</v>
      </c>
      <c r="K75" s="6" t="s">
        <v>14</v>
      </c>
    </row>
    <row r="76" spans="1:11" x14ac:dyDescent="0.3">
      <c r="A76" s="6">
        <v>72</v>
      </c>
      <c r="B76" s="6" t="s">
        <v>2587</v>
      </c>
      <c r="C76" s="6" t="s">
        <v>521</v>
      </c>
      <c r="D76" s="6" t="s">
        <v>3460</v>
      </c>
      <c r="E76" s="6" t="s">
        <v>3617</v>
      </c>
      <c r="F76" s="6" t="s">
        <v>3618</v>
      </c>
      <c r="G76" s="6" t="str">
        <f t="shared" si="5"/>
        <v>1</v>
      </c>
      <c r="H76" s="6" t="str">
        <f t="shared" si="6"/>
        <v>37060</v>
      </c>
      <c r="I76" s="6" t="s">
        <v>13</v>
      </c>
      <c r="J76" s="6" t="s">
        <v>3462</v>
      </c>
      <c r="K76" s="6" t="s">
        <v>14</v>
      </c>
    </row>
    <row r="77" spans="1:11" x14ac:dyDescent="0.3">
      <c r="A77" s="6">
        <v>73</v>
      </c>
      <c r="B77" s="6" t="s">
        <v>2587</v>
      </c>
      <c r="C77" s="6" t="s">
        <v>3620</v>
      </c>
      <c r="D77" s="6" t="s">
        <v>3460</v>
      </c>
      <c r="E77" s="6" t="s">
        <v>3617</v>
      </c>
      <c r="F77" s="6" t="s">
        <v>3618</v>
      </c>
      <c r="G77" s="6" t="str">
        <f t="shared" si="5"/>
        <v>1</v>
      </c>
      <c r="H77" s="6" t="str">
        <f t="shared" si="6"/>
        <v>37060</v>
      </c>
      <c r="I77" s="6" t="s">
        <v>13</v>
      </c>
      <c r="J77" s="6" t="s">
        <v>3462</v>
      </c>
      <c r="K77" s="6" t="s">
        <v>14</v>
      </c>
    </row>
    <row r="78" spans="1:11" x14ac:dyDescent="0.3">
      <c r="A78" s="19">
        <v>74</v>
      </c>
      <c r="B78" s="19" t="s">
        <v>1356</v>
      </c>
      <c r="C78" s="19" t="s">
        <v>551</v>
      </c>
      <c r="D78" s="19" t="s">
        <v>3460</v>
      </c>
      <c r="E78" s="19" t="s">
        <v>3617</v>
      </c>
      <c r="F78" s="19" t="s">
        <v>3618</v>
      </c>
      <c r="G78" s="19" t="str">
        <f t="shared" si="5"/>
        <v>1</v>
      </c>
      <c r="H78" s="19" t="str">
        <f t="shared" si="6"/>
        <v>37060</v>
      </c>
      <c r="I78" s="19" t="s">
        <v>13</v>
      </c>
      <c r="J78" s="19" t="s">
        <v>928</v>
      </c>
      <c r="K78" s="19" t="s">
        <v>14</v>
      </c>
    </row>
    <row r="79" spans="1:11" x14ac:dyDescent="0.3">
      <c r="A79" s="8">
        <v>75</v>
      </c>
      <c r="B79" s="8" t="s">
        <v>3621</v>
      </c>
      <c r="C79" s="8" t="s">
        <v>3622</v>
      </c>
      <c r="D79" s="8" t="s">
        <v>3460</v>
      </c>
      <c r="E79" s="8" t="s">
        <v>3617</v>
      </c>
      <c r="F79" s="8" t="s">
        <v>3618</v>
      </c>
      <c r="G79" s="8" t="str">
        <f t="shared" si="5"/>
        <v>1</v>
      </c>
      <c r="H79" s="8" t="str">
        <f t="shared" si="6"/>
        <v>37060</v>
      </c>
      <c r="I79" s="8" t="s">
        <v>13</v>
      </c>
      <c r="J79" s="8" t="s">
        <v>925</v>
      </c>
      <c r="K79" s="8" t="s">
        <v>14</v>
      </c>
    </row>
    <row r="80" spans="1:11" x14ac:dyDescent="0.3">
      <c r="A80" s="6">
        <v>76</v>
      </c>
      <c r="B80" s="6" t="s">
        <v>1584</v>
      </c>
      <c r="C80" s="6" t="s">
        <v>815</v>
      </c>
      <c r="D80" s="6" t="s">
        <v>3460</v>
      </c>
      <c r="E80" s="6" t="s">
        <v>3617</v>
      </c>
      <c r="F80" s="6" t="s">
        <v>3623</v>
      </c>
      <c r="G80" s="6" t="str">
        <f>"20"</f>
        <v>20</v>
      </c>
      <c r="H80" s="6" t="str">
        <f t="shared" si="6"/>
        <v>37060</v>
      </c>
      <c r="I80" s="6" t="s">
        <v>13</v>
      </c>
      <c r="J80" s="6" t="s">
        <v>927</v>
      </c>
      <c r="K80" s="6" t="s">
        <v>14</v>
      </c>
    </row>
    <row r="81" spans="1:11" x14ac:dyDescent="0.3">
      <c r="A81" s="6">
        <v>77</v>
      </c>
      <c r="B81" s="6" t="s">
        <v>1584</v>
      </c>
      <c r="C81" s="6" t="s">
        <v>3624</v>
      </c>
      <c r="D81" s="6" t="s">
        <v>3460</v>
      </c>
      <c r="E81" s="6" t="s">
        <v>3617</v>
      </c>
      <c r="F81" s="6" t="s">
        <v>3618</v>
      </c>
      <c r="G81" s="6" t="str">
        <f>"1"</f>
        <v>1</v>
      </c>
      <c r="H81" s="6" t="str">
        <f t="shared" si="6"/>
        <v>37060</v>
      </c>
      <c r="I81" s="6" t="s">
        <v>13</v>
      </c>
      <c r="J81" s="6" t="s">
        <v>927</v>
      </c>
      <c r="K81" s="6" t="s">
        <v>14</v>
      </c>
    </row>
    <row r="82" spans="1:11" x14ac:dyDescent="0.3">
      <c r="A82" s="6">
        <v>78</v>
      </c>
      <c r="B82" s="6" t="s">
        <v>990</v>
      </c>
      <c r="C82" s="6" t="s">
        <v>86</v>
      </c>
      <c r="D82" s="6" t="s">
        <v>3460</v>
      </c>
      <c r="E82" s="6" t="s">
        <v>3625</v>
      </c>
      <c r="F82" s="6" t="s">
        <v>3626</v>
      </c>
      <c r="G82" s="6" t="str">
        <f>"3"</f>
        <v>3</v>
      </c>
      <c r="H82" s="6" t="str">
        <f>"37039"</f>
        <v>37039</v>
      </c>
      <c r="I82" s="6" t="s">
        <v>13</v>
      </c>
      <c r="J82" s="6" t="s">
        <v>927</v>
      </c>
      <c r="K82" s="6" t="s">
        <v>14</v>
      </c>
    </row>
    <row r="83" spans="1:11" x14ac:dyDescent="0.3">
      <c r="A83" s="6">
        <v>79</v>
      </c>
      <c r="B83" s="6" t="s">
        <v>3487</v>
      </c>
      <c r="C83" s="6" t="s">
        <v>3488</v>
      </c>
      <c r="D83" s="6" t="s">
        <v>3460</v>
      </c>
      <c r="E83" s="6" t="s">
        <v>3625</v>
      </c>
      <c r="F83" s="6" t="s">
        <v>3627</v>
      </c>
      <c r="G83" s="6" t="str">
        <f>"22"</f>
        <v>22</v>
      </c>
      <c r="H83" s="6" t="str">
        <f>"37039"</f>
        <v>37039</v>
      </c>
      <c r="I83" s="6" t="s">
        <v>13</v>
      </c>
      <c r="J83" s="6" t="s">
        <v>927</v>
      </c>
      <c r="K83" s="6" t="s">
        <v>115</v>
      </c>
    </row>
    <row r="84" spans="1:11" x14ac:dyDescent="0.3">
      <c r="A84" s="6">
        <v>80</v>
      </c>
      <c r="B84" s="6" t="s">
        <v>3550</v>
      </c>
      <c r="C84" s="6" t="s">
        <v>3628</v>
      </c>
      <c r="D84" s="6" t="s">
        <v>3460</v>
      </c>
      <c r="E84" s="6" t="s">
        <v>3629</v>
      </c>
      <c r="F84" s="6" t="s">
        <v>335</v>
      </c>
      <c r="G84" s="6" t="str">
        <f>"1/C"</f>
        <v>1/C</v>
      </c>
      <c r="H84" s="6" t="str">
        <f>"37060"</f>
        <v>37060</v>
      </c>
      <c r="I84" s="6" t="s">
        <v>13</v>
      </c>
      <c r="J84" s="6" t="s">
        <v>927</v>
      </c>
      <c r="K84" s="6" t="s">
        <v>20</v>
      </c>
    </row>
    <row r="85" spans="1:11" x14ac:dyDescent="0.3">
      <c r="A85" s="6">
        <v>81</v>
      </c>
      <c r="B85" s="6" t="s">
        <v>3480</v>
      </c>
      <c r="C85" s="6" t="s">
        <v>3481</v>
      </c>
      <c r="D85" s="6" t="s">
        <v>3460</v>
      </c>
      <c r="E85" s="6" t="s">
        <v>3630</v>
      </c>
      <c r="F85" s="6" t="s">
        <v>3631</v>
      </c>
      <c r="G85" s="6" t="str">
        <f>"1"</f>
        <v>1</v>
      </c>
      <c r="H85" s="6" t="str">
        <f>"37067"</f>
        <v>37067</v>
      </c>
      <c r="I85" s="6" t="s">
        <v>13</v>
      </c>
      <c r="J85" s="6" t="s">
        <v>927</v>
      </c>
      <c r="K85" s="6" t="s">
        <v>20</v>
      </c>
    </row>
    <row r="86" spans="1:11" x14ac:dyDescent="0.3">
      <c r="A86" s="6">
        <v>82</v>
      </c>
      <c r="B86" s="6" t="s">
        <v>3632</v>
      </c>
      <c r="C86" s="6" t="s">
        <v>3633</v>
      </c>
      <c r="D86" s="6" t="s">
        <v>3460</v>
      </c>
      <c r="E86" s="6" t="s">
        <v>3630</v>
      </c>
      <c r="F86" s="6" t="s">
        <v>3634</v>
      </c>
      <c r="G86" s="6" t="str">
        <f>"22"</f>
        <v>22</v>
      </c>
      <c r="H86" s="6" t="str">
        <f>"37067"</f>
        <v>37067</v>
      </c>
      <c r="I86" s="6" t="s">
        <v>13</v>
      </c>
      <c r="J86" s="6" t="s">
        <v>3462</v>
      </c>
      <c r="K86" s="6" t="s">
        <v>14</v>
      </c>
    </row>
    <row r="87" spans="1:11" x14ac:dyDescent="0.3">
      <c r="A87" s="6">
        <v>83</v>
      </c>
      <c r="B87" s="6" t="s">
        <v>3635</v>
      </c>
      <c r="C87" s="6" t="s">
        <v>3636</v>
      </c>
      <c r="D87" s="6" t="s">
        <v>3460</v>
      </c>
      <c r="E87" s="6" t="s">
        <v>3457</v>
      </c>
      <c r="F87" s="6" t="s">
        <v>3637</v>
      </c>
      <c r="G87" s="6" t="str">
        <f>"16"</f>
        <v>16</v>
      </c>
      <c r="H87" s="6" t="str">
        <f>"37121"</f>
        <v>37121</v>
      </c>
      <c r="I87" s="6" t="s">
        <v>13</v>
      </c>
      <c r="J87" s="6" t="s">
        <v>3462</v>
      </c>
      <c r="K87" s="6" t="s">
        <v>14</v>
      </c>
    </row>
    <row r="88" spans="1:11" x14ac:dyDescent="0.3">
      <c r="A88" s="6">
        <v>84</v>
      </c>
      <c r="B88" s="6" t="s">
        <v>3638</v>
      </c>
      <c r="C88" s="6" t="s">
        <v>3639</v>
      </c>
      <c r="D88" s="6" t="s">
        <v>3460</v>
      </c>
      <c r="E88" s="6" t="s">
        <v>3457</v>
      </c>
      <c r="F88" s="6" t="s">
        <v>3640</v>
      </c>
      <c r="G88" s="6" t="str">
        <f>"1"</f>
        <v>1</v>
      </c>
      <c r="H88" s="6" t="str">
        <f>"37121"</f>
        <v>37121</v>
      </c>
      <c r="I88" s="6" t="s">
        <v>13</v>
      </c>
      <c r="J88" s="6" t="s">
        <v>3462</v>
      </c>
      <c r="K88" s="6" t="s">
        <v>14</v>
      </c>
    </row>
    <row r="89" spans="1:11" x14ac:dyDescent="0.3">
      <c r="A89" s="6">
        <v>85</v>
      </c>
      <c r="B89" s="6" t="s">
        <v>3641</v>
      </c>
      <c r="C89" s="6" t="s">
        <v>3642</v>
      </c>
      <c r="D89" s="6" t="s">
        <v>3460</v>
      </c>
      <c r="E89" s="6" t="s">
        <v>3457</v>
      </c>
      <c r="F89" s="6" t="s">
        <v>3643</v>
      </c>
      <c r="G89" s="6" t="str">
        <f>"44"</f>
        <v>44</v>
      </c>
      <c r="H89" s="6" t="str">
        <f>"37132"</f>
        <v>37132</v>
      </c>
      <c r="I89" s="6" t="s">
        <v>13</v>
      </c>
      <c r="J89" s="6" t="s">
        <v>3462</v>
      </c>
      <c r="K89" s="6" t="s">
        <v>2309</v>
      </c>
    </row>
    <row r="90" spans="1:11" x14ac:dyDescent="0.3">
      <c r="A90" s="6">
        <v>86</v>
      </c>
      <c r="B90" s="6" t="s">
        <v>3644</v>
      </c>
      <c r="C90" s="6" t="s">
        <v>3645</v>
      </c>
      <c r="D90" s="6" t="s">
        <v>3460</v>
      </c>
      <c r="E90" s="6" t="s">
        <v>3457</v>
      </c>
      <c r="F90" s="6" t="s">
        <v>3646</v>
      </c>
      <c r="G90" s="6" t="str">
        <f>"15"</f>
        <v>15</v>
      </c>
      <c r="H90" s="6" t="str">
        <f>"37122"</f>
        <v>37122</v>
      </c>
      <c r="I90" s="6" t="s">
        <v>13</v>
      </c>
      <c r="J90" s="6" t="s">
        <v>3462</v>
      </c>
      <c r="K90" s="6" t="s">
        <v>165</v>
      </c>
    </row>
    <row r="91" spans="1:11" x14ac:dyDescent="0.3">
      <c r="A91" s="6">
        <v>87</v>
      </c>
      <c r="B91" s="6" t="s">
        <v>3647</v>
      </c>
      <c r="C91" s="6" t="s">
        <v>3648</v>
      </c>
      <c r="D91" s="6" t="s">
        <v>3460</v>
      </c>
      <c r="E91" s="6" t="s">
        <v>3457</v>
      </c>
      <c r="F91" s="6" t="s">
        <v>3649</v>
      </c>
      <c r="G91" s="6" t="str">
        <f>"29"</f>
        <v>29</v>
      </c>
      <c r="H91" s="6" t="str">
        <f>"37122"</f>
        <v>37122</v>
      </c>
      <c r="I91" s="6" t="s">
        <v>13</v>
      </c>
      <c r="J91" s="6" t="s">
        <v>3462</v>
      </c>
      <c r="K91" s="6" t="s">
        <v>20</v>
      </c>
    </row>
    <row r="92" spans="1:11" x14ac:dyDescent="0.3">
      <c r="A92" s="8">
        <v>88</v>
      </c>
      <c r="B92" s="8" t="s">
        <v>1186</v>
      </c>
      <c r="C92" s="8" t="s">
        <v>353</v>
      </c>
      <c r="D92" s="8" t="s">
        <v>3460</v>
      </c>
      <c r="E92" s="8" t="s">
        <v>3457</v>
      </c>
      <c r="F92" s="8" t="s">
        <v>3650</v>
      </c>
      <c r="G92" s="8" t="str">
        <f>"35/B "</f>
        <v xml:space="preserve">35/B </v>
      </c>
      <c r="H92" s="8" t="str">
        <f>"37135"</f>
        <v>37135</v>
      </c>
      <c r="I92" s="8" t="s">
        <v>13</v>
      </c>
      <c r="J92" s="8" t="s">
        <v>925</v>
      </c>
      <c r="K92" s="8" t="s">
        <v>43</v>
      </c>
    </row>
    <row r="93" spans="1:11" x14ac:dyDescent="0.3">
      <c r="A93" s="6">
        <v>89</v>
      </c>
      <c r="B93" s="6" t="s">
        <v>931</v>
      </c>
      <c r="C93" s="6" t="s">
        <v>54</v>
      </c>
      <c r="D93" s="6" t="s">
        <v>3460</v>
      </c>
      <c r="E93" s="6" t="s">
        <v>3457</v>
      </c>
      <c r="F93" s="6" t="s">
        <v>552</v>
      </c>
      <c r="G93" s="6" t="str">
        <f>"7"</f>
        <v>7</v>
      </c>
      <c r="H93" s="6" t="str">
        <f>"37122"</f>
        <v>37122</v>
      </c>
      <c r="I93" s="6" t="s">
        <v>13</v>
      </c>
      <c r="J93" s="6" t="s">
        <v>927</v>
      </c>
      <c r="K93" s="6" t="s">
        <v>20</v>
      </c>
    </row>
    <row r="94" spans="1:11" x14ac:dyDescent="0.3">
      <c r="A94" s="6">
        <v>90</v>
      </c>
      <c r="B94" s="6" t="s">
        <v>931</v>
      </c>
      <c r="C94" s="6" t="s">
        <v>3651</v>
      </c>
      <c r="D94" s="6" t="s">
        <v>3460</v>
      </c>
      <c r="E94" s="6" t="s">
        <v>3457</v>
      </c>
      <c r="F94" s="6" t="s">
        <v>3652</v>
      </c>
      <c r="G94" s="6" t="str">
        <f>"1"</f>
        <v>1</v>
      </c>
      <c r="H94" s="6" t="str">
        <f>"37135"</f>
        <v>37135</v>
      </c>
      <c r="I94" s="6" t="s">
        <v>13</v>
      </c>
      <c r="J94" s="6" t="s">
        <v>927</v>
      </c>
      <c r="K94" s="6" t="s">
        <v>14</v>
      </c>
    </row>
    <row r="95" spans="1:11" x14ac:dyDescent="0.3">
      <c r="A95" s="6">
        <v>91</v>
      </c>
      <c r="B95" s="6" t="s">
        <v>3653</v>
      </c>
      <c r="C95" s="6" t="s">
        <v>3654</v>
      </c>
      <c r="D95" s="6" t="s">
        <v>3460</v>
      </c>
      <c r="E95" s="6" t="s">
        <v>3457</v>
      </c>
      <c r="F95" s="6" t="s">
        <v>891</v>
      </c>
      <c r="G95" s="6" t="str">
        <f>"15"</f>
        <v>15</v>
      </c>
      <c r="H95" s="6" t="str">
        <f>"37135"</f>
        <v>37135</v>
      </c>
      <c r="I95" s="6" t="s">
        <v>13</v>
      </c>
      <c r="J95" s="6" t="s">
        <v>3462</v>
      </c>
      <c r="K95" s="6" t="s">
        <v>14</v>
      </c>
    </row>
    <row r="96" spans="1:11" x14ac:dyDescent="0.3">
      <c r="A96" s="6">
        <v>92</v>
      </c>
      <c r="B96" s="6" t="s">
        <v>2587</v>
      </c>
      <c r="C96" s="6" t="s">
        <v>3655</v>
      </c>
      <c r="D96" s="6" t="s">
        <v>3460</v>
      </c>
      <c r="E96" s="6" t="s">
        <v>3457</v>
      </c>
      <c r="F96" s="6" t="s">
        <v>3656</v>
      </c>
      <c r="G96" s="6" t="str">
        <f>"SNC"</f>
        <v>SNC</v>
      </c>
      <c r="H96" s="6" t="str">
        <f>"37138"</f>
        <v>37138</v>
      </c>
      <c r="I96" s="6" t="s">
        <v>13</v>
      </c>
      <c r="J96" s="6" t="s">
        <v>3462</v>
      </c>
      <c r="K96" s="6" t="s">
        <v>14</v>
      </c>
    </row>
    <row r="97" spans="1:11" x14ac:dyDescent="0.3">
      <c r="A97" s="6">
        <v>93</v>
      </c>
      <c r="B97" s="6" t="s">
        <v>3657</v>
      </c>
      <c r="C97" s="6" t="s">
        <v>3658</v>
      </c>
      <c r="D97" s="6" t="s">
        <v>3460</v>
      </c>
      <c r="E97" s="6" t="s">
        <v>3457</v>
      </c>
      <c r="F97" s="6" t="s">
        <v>610</v>
      </c>
      <c r="G97" s="6" t="str">
        <f>"28/A"</f>
        <v>28/A</v>
      </c>
      <c r="H97" s="6" t="str">
        <f>"37126"</f>
        <v>37126</v>
      </c>
      <c r="I97" s="6" t="s">
        <v>13</v>
      </c>
      <c r="J97" s="6" t="s">
        <v>3462</v>
      </c>
      <c r="K97" s="6" t="s">
        <v>66</v>
      </c>
    </row>
    <row r="98" spans="1:11" x14ac:dyDescent="0.3">
      <c r="A98" s="6">
        <v>94</v>
      </c>
      <c r="B98" s="6" t="s">
        <v>3659</v>
      </c>
      <c r="C98" s="6" t="s">
        <v>3660</v>
      </c>
      <c r="D98" s="6" t="s">
        <v>3460</v>
      </c>
      <c r="E98" s="6" t="s">
        <v>3457</v>
      </c>
      <c r="F98" s="6" t="s">
        <v>3661</v>
      </c>
      <c r="G98" s="6" t="str">
        <f>"79"</f>
        <v>79</v>
      </c>
      <c r="H98" s="6" t="str">
        <f>"37135"</f>
        <v>37135</v>
      </c>
      <c r="I98" s="6" t="s">
        <v>13</v>
      </c>
      <c r="J98" s="6" t="s">
        <v>3462</v>
      </c>
      <c r="K98" s="6" t="s">
        <v>20</v>
      </c>
    </row>
    <row r="99" spans="1:11" x14ac:dyDescent="0.3">
      <c r="A99" s="6">
        <v>95</v>
      </c>
      <c r="B99" s="6" t="s">
        <v>3662</v>
      </c>
      <c r="C99" s="6" t="s">
        <v>3663</v>
      </c>
      <c r="D99" s="6" t="s">
        <v>3460</v>
      </c>
      <c r="E99" s="6" t="s">
        <v>3457</v>
      </c>
      <c r="F99" s="6" t="s">
        <v>3664</v>
      </c>
      <c r="G99" s="6" t="str">
        <f>"3"</f>
        <v>3</v>
      </c>
      <c r="H99" s="6" t="str">
        <f>"37122"</f>
        <v>37122</v>
      </c>
      <c r="I99" s="6" t="s">
        <v>13</v>
      </c>
      <c r="J99" s="6" t="s">
        <v>3462</v>
      </c>
      <c r="K99" s="6" t="s">
        <v>20</v>
      </c>
    </row>
    <row r="100" spans="1:11" x14ac:dyDescent="0.3">
      <c r="A100" s="8">
        <v>96</v>
      </c>
      <c r="B100" s="8" t="s">
        <v>3665</v>
      </c>
      <c r="C100" s="8" t="s">
        <v>3666</v>
      </c>
      <c r="D100" s="8" t="s">
        <v>3460</v>
      </c>
      <c r="E100" s="8" t="s">
        <v>3457</v>
      </c>
      <c r="F100" s="8" t="s">
        <v>3667</v>
      </c>
      <c r="G100" s="8" t="str">
        <f>"166"</f>
        <v>166</v>
      </c>
      <c r="H100" s="8" t="str">
        <f>"37124"</f>
        <v>37124</v>
      </c>
      <c r="I100" s="8" t="s">
        <v>13</v>
      </c>
      <c r="J100" s="8" t="s">
        <v>925</v>
      </c>
      <c r="K100" s="8" t="s">
        <v>20</v>
      </c>
    </row>
    <row r="101" spans="1:11" x14ac:dyDescent="0.3">
      <c r="A101" s="6">
        <v>97</v>
      </c>
      <c r="B101" s="6" t="s">
        <v>3668</v>
      </c>
      <c r="C101" s="6" t="s">
        <v>3669</v>
      </c>
      <c r="D101" s="6" t="s">
        <v>3460</v>
      </c>
      <c r="E101" s="6" t="s">
        <v>3457</v>
      </c>
      <c r="F101" s="6" t="s">
        <v>3649</v>
      </c>
      <c r="G101" s="6" t="str">
        <f>"5/7"</f>
        <v>5/7</v>
      </c>
      <c r="H101" s="6" t="str">
        <f>"37122"</f>
        <v>37122</v>
      </c>
      <c r="I101" s="6" t="s">
        <v>13</v>
      </c>
      <c r="J101" s="6" t="s">
        <v>3462</v>
      </c>
      <c r="K101" s="6" t="s">
        <v>254</v>
      </c>
    </row>
    <row r="102" spans="1:11" x14ac:dyDescent="0.3">
      <c r="A102" s="6">
        <v>98</v>
      </c>
      <c r="B102" s="6" t="s">
        <v>3670</v>
      </c>
      <c r="C102" s="6" t="s">
        <v>3671</v>
      </c>
      <c r="D102" s="6" t="s">
        <v>3460</v>
      </c>
      <c r="E102" s="6" t="s">
        <v>3457</v>
      </c>
      <c r="F102" s="6" t="s">
        <v>3672</v>
      </c>
      <c r="G102" s="6" t="str">
        <f>"70/E"</f>
        <v>70/E</v>
      </c>
      <c r="H102" s="6" t="str">
        <f>"37122"</f>
        <v>37122</v>
      </c>
      <c r="I102" s="6" t="s">
        <v>13</v>
      </c>
      <c r="J102" s="6" t="s">
        <v>3462</v>
      </c>
      <c r="K102" s="6" t="s">
        <v>20</v>
      </c>
    </row>
    <row r="103" spans="1:11" x14ac:dyDescent="0.3">
      <c r="A103" s="8">
        <v>99</v>
      </c>
      <c r="B103" s="8" t="s">
        <v>3673</v>
      </c>
      <c r="C103" s="8" t="s">
        <v>3674</v>
      </c>
      <c r="D103" s="8" t="s">
        <v>3460</v>
      </c>
      <c r="E103" s="8" t="s">
        <v>3457</v>
      </c>
      <c r="F103" s="8" t="s">
        <v>3675</v>
      </c>
      <c r="G103" s="8" t="str">
        <f>"118"</f>
        <v>118</v>
      </c>
      <c r="H103" s="8" t="str">
        <f>"37136"</f>
        <v>37136</v>
      </c>
      <c r="I103" s="8" t="s">
        <v>13</v>
      </c>
      <c r="J103" s="8" t="s">
        <v>925</v>
      </c>
      <c r="K103" s="8" t="s">
        <v>488</v>
      </c>
    </row>
    <row r="104" spans="1:11" x14ac:dyDescent="0.3">
      <c r="A104" s="6">
        <v>100</v>
      </c>
      <c r="B104" s="6" t="s">
        <v>3676</v>
      </c>
      <c r="C104" s="6" t="s">
        <v>3677</v>
      </c>
      <c r="D104" s="6" t="s">
        <v>3460</v>
      </c>
      <c r="E104" s="6" t="s">
        <v>3457</v>
      </c>
      <c r="F104" s="6" t="s">
        <v>3678</v>
      </c>
      <c r="G104" s="6" t="str">
        <f>"100"</f>
        <v>100</v>
      </c>
      <c r="H104" s="6" t="str">
        <f>"37135"</f>
        <v>37135</v>
      </c>
      <c r="I104" s="6" t="s">
        <v>13</v>
      </c>
      <c r="J104" s="6" t="s">
        <v>3462</v>
      </c>
      <c r="K104" s="6" t="s">
        <v>14</v>
      </c>
    </row>
    <row r="105" spans="1:11" x14ac:dyDescent="0.3">
      <c r="A105" s="6">
        <v>101</v>
      </c>
      <c r="B105" s="6" t="s">
        <v>3679</v>
      </c>
      <c r="C105" s="6" t="s">
        <v>3680</v>
      </c>
      <c r="D105" s="6" t="s">
        <v>3460</v>
      </c>
      <c r="E105" s="6" t="s">
        <v>3457</v>
      </c>
      <c r="F105" s="6" t="s">
        <v>3681</v>
      </c>
      <c r="G105" s="6" t="str">
        <f>"26"</f>
        <v>26</v>
      </c>
      <c r="H105" s="6" t="str">
        <f>"37122"</f>
        <v>37122</v>
      </c>
      <c r="I105" s="6" t="s">
        <v>13</v>
      </c>
      <c r="J105" s="6" t="s">
        <v>3462</v>
      </c>
      <c r="K105" s="6" t="s">
        <v>43</v>
      </c>
    </row>
    <row r="106" spans="1:11" x14ac:dyDescent="0.3">
      <c r="A106" s="8">
        <v>102</v>
      </c>
      <c r="B106" s="8" t="s">
        <v>3682</v>
      </c>
      <c r="C106" s="8" t="s">
        <v>3683</v>
      </c>
      <c r="D106" s="8" t="s">
        <v>3460</v>
      </c>
      <c r="E106" s="8" t="s">
        <v>3457</v>
      </c>
      <c r="F106" s="8" t="s">
        <v>3684</v>
      </c>
      <c r="G106" s="8" t="str">
        <f>"14"</f>
        <v>14</v>
      </c>
      <c r="H106" s="8" t="str">
        <f>"37121"</f>
        <v>37121</v>
      </c>
      <c r="I106" s="8" t="s">
        <v>13</v>
      </c>
      <c r="J106" s="8" t="s">
        <v>925</v>
      </c>
      <c r="K106" s="8" t="s">
        <v>224</v>
      </c>
    </row>
    <row r="107" spans="1:11" x14ac:dyDescent="0.3">
      <c r="A107" s="6">
        <v>103</v>
      </c>
      <c r="B107" s="6" t="s">
        <v>3685</v>
      </c>
      <c r="C107" s="6" t="s">
        <v>3686</v>
      </c>
      <c r="D107" s="6" t="s">
        <v>3460</v>
      </c>
      <c r="E107" s="6" t="s">
        <v>3457</v>
      </c>
      <c r="F107" s="6" t="s">
        <v>3687</v>
      </c>
      <c r="G107" s="6" t="str">
        <f>"14/A"</f>
        <v>14/A</v>
      </c>
      <c r="H107" s="6" t="str">
        <f>"37122"</f>
        <v>37122</v>
      </c>
      <c r="I107" s="6" t="s">
        <v>13</v>
      </c>
      <c r="J107" s="6" t="s">
        <v>3462</v>
      </c>
      <c r="K107" s="6" t="s">
        <v>254</v>
      </c>
    </row>
    <row r="108" spans="1:11" x14ac:dyDescent="0.3">
      <c r="A108" s="6">
        <v>104</v>
      </c>
      <c r="B108" s="6" t="s">
        <v>3688</v>
      </c>
      <c r="C108" s="6" t="s">
        <v>3689</v>
      </c>
      <c r="D108" s="6" t="s">
        <v>3460</v>
      </c>
      <c r="E108" s="6" t="s">
        <v>3457</v>
      </c>
      <c r="F108" s="6" t="s">
        <v>3690</v>
      </c>
      <c r="G108" s="6" t="str">
        <f>"34"</f>
        <v>34</v>
      </c>
      <c r="H108" s="6" t="str">
        <f>"37122"</f>
        <v>37122</v>
      </c>
      <c r="I108" s="6" t="s">
        <v>13</v>
      </c>
      <c r="J108" s="6" t="s">
        <v>3462</v>
      </c>
      <c r="K108" s="6" t="s">
        <v>20</v>
      </c>
    </row>
    <row r="109" spans="1:11" x14ac:dyDescent="0.3">
      <c r="A109" s="6">
        <v>105</v>
      </c>
      <c r="B109" s="6" t="s">
        <v>3691</v>
      </c>
      <c r="C109" s="6" t="s">
        <v>3692</v>
      </c>
      <c r="D109" s="6" t="s">
        <v>3460</v>
      </c>
      <c r="E109" s="6" t="s">
        <v>3457</v>
      </c>
      <c r="F109" s="6" t="s">
        <v>3693</v>
      </c>
      <c r="G109" s="6" t="str">
        <f>"18/D"</f>
        <v>18/D</v>
      </c>
      <c r="H109" s="6" t="str">
        <f>"37138"</f>
        <v>37138</v>
      </c>
      <c r="I109" s="6" t="s">
        <v>13</v>
      </c>
      <c r="J109" s="6" t="s">
        <v>3462</v>
      </c>
      <c r="K109" s="6" t="s">
        <v>165</v>
      </c>
    </row>
    <row r="110" spans="1:11" x14ac:dyDescent="0.3">
      <c r="A110" s="6">
        <v>106</v>
      </c>
      <c r="B110" s="6" t="s">
        <v>3694</v>
      </c>
      <c r="C110" s="6" t="s">
        <v>3695</v>
      </c>
      <c r="D110" s="6" t="s">
        <v>3460</v>
      </c>
      <c r="E110" s="6" t="s">
        <v>3457</v>
      </c>
      <c r="F110" s="6" t="s">
        <v>3696</v>
      </c>
      <c r="G110" s="6" t="str">
        <f>"20"</f>
        <v>20</v>
      </c>
      <c r="H110" s="6" t="str">
        <f>"37121"</f>
        <v>37121</v>
      </c>
      <c r="I110" s="6" t="s">
        <v>13</v>
      </c>
      <c r="J110" s="6" t="s">
        <v>3462</v>
      </c>
      <c r="K110" s="6" t="s">
        <v>3697</v>
      </c>
    </row>
    <row r="111" spans="1:11" x14ac:dyDescent="0.3">
      <c r="A111" s="6">
        <v>107</v>
      </c>
      <c r="B111" s="6" t="s">
        <v>1264</v>
      </c>
      <c r="C111" s="6" t="s">
        <v>3698</v>
      </c>
      <c r="D111" s="6" t="s">
        <v>3460</v>
      </c>
      <c r="E111" s="6" t="s">
        <v>3457</v>
      </c>
      <c r="F111" s="6" t="s">
        <v>3640</v>
      </c>
      <c r="G111" s="6" t="str">
        <f>"20"</f>
        <v>20</v>
      </c>
      <c r="H111" s="6" t="str">
        <f>"37121"</f>
        <v>37121</v>
      </c>
      <c r="I111" s="6" t="s">
        <v>13</v>
      </c>
      <c r="J111" s="6" t="s">
        <v>3462</v>
      </c>
      <c r="K111" s="6" t="s">
        <v>14</v>
      </c>
    </row>
    <row r="112" spans="1:11" x14ac:dyDescent="0.3">
      <c r="A112" s="8">
        <v>108</v>
      </c>
      <c r="B112" s="8" t="s">
        <v>1107</v>
      </c>
      <c r="C112" s="8" t="s">
        <v>255</v>
      </c>
      <c r="D112" s="8" t="s">
        <v>3460</v>
      </c>
      <c r="E112" s="8" t="s">
        <v>3457</v>
      </c>
      <c r="F112" s="8" t="s">
        <v>3652</v>
      </c>
      <c r="G112" s="8" t="str">
        <f>"1"</f>
        <v>1</v>
      </c>
      <c r="H112" s="8" t="str">
        <f>"37135"</f>
        <v>37135</v>
      </c>
      <c r="I112" s="8" t="s">
        <v>13</v>
      </c>
      <c r="J112" s="8" t="s">
        <v>925</v>
      </c>
      <c r="K112" s="8" t="s">
        <v>14</v>
      </c>
    </row>
    <row r="113" spans="1:11" x14ac:dyDescent="0.3">
      <c r="A113" s="8">
        <v>109</v>
      </c>
      <c r="B113" s="8" t="s">
        <v>1107</v>
      </c>
      <c r="C113" s="8" t="s">
        <v>255</v>
      </c>
      <c r="D113" s="8" t="s">
        <v>3460</v>
      </c>
      <c r="E113" s="8" t="s">
        <v>3457</v>
      </c>
      <c r="F113" s="8" t="s">
        <v>3699</v>
      </c>
      <c r="G113" s="8" t="str">
        <f>"123"</f>
        <v>123</v>
      </c>
      <c r="H113" s="8" t="str">
        <f>"37134"</f>
        <v>37134</v>
      </c>
      <c r="I113" s="8" t="s">
        <v>13</v>
      </c>
      <c r="J113" s="8" t="s">
        <v>925</v>
      </c>
      <c r="K113" s="8" t="s">
        <v>14</v>
      </c>
    </row>
    <row r="114" spans="1:11" x14ac:dyDescent="0.3">
      <c r="A114" s="7">
        <v>110</v>
      </c>
      <c r="B114" s="7" t="s">
        <v>1265</v>
      </c>
      <c r="C114" s="7" t="s">
        <v>3700</v>
      </c>
      <c r="D114" s="7" t="s">
        <v>3460</v>
      </c>
      <c r="E114" s="7" t="s">
        <v>3457</v>
      </c>
      <c r="F114" s="7" t="s">
        <v>3701</v>
      </c>
      <c r="G114" s="7" t="str">
        <f>"18"</f>
        <v>18</v>
      </c>
      <c r="H114" s="7" t="str">
        <f>"37132"</f>
        <v>37132</v>
      </c>
      <c r="I114" s="7" t="s">
        <v>13</v>
      </c>
      <c r="J114" s="7" t="s">
        <v>924</v>
      </c>
      <c r="K114" s="7" t="s">
        <v>14</v>
      </c>
    </row>
    <row r="115" spans="1:11" x14ac:dyDescent="0.3">
      <c r="A115" s="6">
        <v>111</v>
      </c>
      <c r="B115" s="6" t="s">
        <v>3702</v>
      </c>
      <c r="C115" s="6" t="s">
        <v>3703</v>
      </c>
      <c r="D115" s="6" t="s">
        <v>3460</v>
      </c>
      <c r="E115" s="6" t="s">
        <v>3457</v>
      </c>
      <c r="F115" s="6" t="s">
        <v>3704</v>
      </c>
      <c r="G115" s="6" t="str">
        <f>"10"</f>
        <v>10</v>
      </c>
      <c r="H115" s="6" t="str">
        <f>"37131"</f>
        <v>37131</v>
      </c>
      <c r="I115" s="6" t="s">
        <v>13</v>
      </c>
      <c r="J115" s="6" t="s">
        <v>927</v>
      </c>
      <c r="K115" s="6" t="s">
        <v>20</v>
      </c>
    </row>
    <row r="116" spans="1:11" x14ac:dyDescent="0.3">
      <c r="A116" s="6">
        <v>112</v>
      </c>
      <c r="B116" s="6" t="s">
        <v>3705</v>
      </c>
      <c r="C116" s="6" t="s">
        <v>3706</v>
      </c>
      <c r="D116" s="6" t="s">
        <v>3460</v>
      </c>
      <c r="E116" s="6" t="s">
        <v>3457</v>
      </c>
      <c r="F116" s="6" t="s">
        <v>3707</v>
      </c>
      <c r="G116" s="6" t="str">
        <f>"35"</f>
        <v>35</v>
      </c>
      <c r="H116" s="6" t="str">
        <f>"37122"</f>
        <v>37122</v>
      </c>
      <c r="I116" s="6" t="s">
        <v>13</v>
      </c>
      <c r="J116" s="6" t="s">
        <v>3462</v>
      </c>
      <c r="K116" s="6" t="s">
        <v>411</v>
      </c>
    </row>
    <row r="117" spans="1:11" x14ac:dyDescent="0.3">
      <c r="A117" s="7">
        <v>113</v>
      </c>
      <c r="B117" s="7" t="s">
        <v>3708</v>
      </c>
      <c r="C117" s="7" t="s">
        <v>3709</v>
      </c>
      <c r="D117" s="7" t="s">
        <v>3460</v>
      </c>
      <c r="E117" s="7" t="s">
        <v>3457</v>
      </c>
      <c r="F117" s="7" t="s">
        <v>3710</v>
      </c>
      <c r="G117" s="7" t="str">
        <f>"2"</f>
        <v>2</v>
      </c>
      <c r="H117" s="7" t="str">
        <f>"37135"</f>
        <v>37135</v>
      </c>
      <c r="I117" s="7" t="s">
        <v>13</v>
      </c>
      <c r="J117" s="7" t="s">
        <v>924</v>
      </c>
      <c r="K117" s="7" t="s">
        <v>14</v>
      </c>
    </row>
    <row r="118" spans="1:11" x14ac:dyDescent="0.3">
      <c r="A118" s="6">
        <v>114</v>
      </c>
      <c r="B118" s="6" t="s">
        <v>3711</v>
      </c>
      <c r="C118" s="6" t="s">
        <v>3712</v>
      </c>
      <c r="D118" s="6" t="s">
        <v>3460</v>
      </c>
      <c r="E118" s="6" t="s">
        <v>3457</v>
      </c>
      <c r="F118" s="6" t="s">
        <v>3649</v>
      </c>
      <c r="G118" s="6" t="str">
        <f>"2"</f>
        <v>2</v>
      </c>
      <c r="H118" s="6" t="str">
        <f>"37122"</f>
        <v>37122</v>
      </c>
      <c r="I118" s="6" t="s">
        <v>13</v>
      </c>
      <c r="J118" s="6" t="s">
        <v>3462</v>
      </c>
      <c r="K118" s="6" t="s">
        <v>14</v>
      </c>
    </row>
    <row r="119" spans="1:11" x14ac:dyDescent="0.3">
      <c r="A119" s="6">
        <v>115</v>
      </c>
      <c r="B119" s="6" t="s">
        <v>3713</v>
      </c>
      <c r="C119" s="6" t="s">
        <v>3714</v>
      </c>
      <c r="D119" s="6" t="s">
        <v>3460</v>
      </c>
      <c r="E119" s="6" t="s">
        <v>3457</v>
      </c>
      <c r="F119" s="6" t="s">
        <v>3715</v>
      </c>
      <c r="G119" s="6" t="str">
        <f>"5"</f>
        <v>5</v>
      </c>
      <c r="H119" s="6" t="str">
        <f>"37121"</f>
        <v>37121</v>
      </c>
      <c r="I119" s="6" t="s">
        <v>13</v>
      </c>
      <c r="J119" s="6" t="s">
        <v>3462</v>
      </c>
      <c r="K119" s="6" t="s">
        <v>14</v>
      </c>
    </row>
    <row r="120" spans="1:11" x14ac:dyDescent="0.3">
      <c r="A120" s="8">
        <v>116</v>
      </c>
      <c r="B120" s="8" t="s">
        <v>3716</v>
      </c>
      <c r="C120" s="8" t="s">
        <v>3717</v>
      </c>
      <c r="D120" s="8" t="s">
        <v>3460</v>
      </c>
      <c r="E120" s="8" t="s">
        <v>3457</v>
      </c>
      <c r="F120" s="8" t="s">
        <v>590</v>
      </c>
      <c r="G120" s="8" t="str">
        <f>"2/4"</f>
        <v>2/4</v>
      </c>
      <c r="H120" s="8" t="str">
        <f>"37135"</f>
        <v>37135</v>
      </c>
      <c r="I120" s="8" t="s">
        <v>13</v>
      </c>
      <c r="J120" s="8" t="s">
        <v>925</v>
      </c>
      <c r="K120" s="8" t="s">
        <v>224</v>
      </c>
    </row>
    <row r="121" spans="1:11" x14ac:dyDescent="0.3">
      <c r="A121" s="19">
        <v>117</v>
      </c>
      <c r="B121" s="19" t="s">
        <v>3718</v>
      </c>
      <c r="C121" s="19" t="s">
        <v>3718</v>
      </c>
      <c r="D121" s="19" t="s">
        <v>3460</v>
      </c>
      <c r="E121" s="19" t="s">
        <v>3457</v>
      </c>
      <c r="F121" s="19" t="s">
        <v>3640</v>
      </c>
      <c r="G121" s="19" t="str">
        <f>"1"</f>
        <v>1</v>
      </c>
      <c r="H121" s="19" t="str">
        <f>"37121"</f>
        <v>37121</v>
      </c>
      <c r="I121" s="19" t="s">
        <v>13</v>
      </c>
      <c r="J121" s="19" t="s">
        <v>928</v>
      </c>
      <c r="K121" s="19" t="s">
        <v>14</v>
      </c>
    </row>
    <row r="122" spans="1:11" x14ac:dyDescent="0.3">
      <c r="A122" s="8">
        <v>118</v>
      </c>
      <c r="B122" s="8" t="s">
        <v>3719</v>
      </c>
      <c r="C122" s="8" t="s">
        <v>3720</v>
      </c>
      <c r="D122" s="8" t="s">
        <v>3460</v>
      </c>
      <c r="E122" s="8" t="s">
        <v>3457</v>
      </c>
      <c r="F122" s="8" t="s">
        <v>590</v>
      </c>
      <c r="G122" s="8" t="str">
        <f>"63"</f>
        <v>63</v>
      </c>
      <c r="H122" s="8" t="str">
        <f>"37136"</f>
        <v>37136</v>
      </c>
      <c r="I122" s="8" t="s">
        <v>13</v>
      </c>
      <c r="J122" s="8" t="s">
        <v>925</v>
      </c>
      <c r="K122" s="8" t="s">
        <v>66</v>
      </c>
    </row>
    <row r="123" spans="1:11" x14ac:dyDescent="0.3">
      <c r="A123" s="6">
        <v>119</v>
      </c>
      <c r="B123" s="6" t="s">
        <v>3721</v>
      </c>
      <c r="C123" s="6" t="s">
        <v>3722</v>
      </c>
      <c r="D123" s="6" t="s">
        <v>3460</v>
      </c>
      <c r="E123" s="6" t="s">
        <v>3457</v>
      </c>
      <c r="F123" s="6" t="s">
        <v>3723</v>
      </c>
      <c r="G123" s="6" t="str">
        <f>"5B"</f>
        <v>5B</v>
      </c>
      <c r="H123" s="6" t="str">
        <f>"37135"</f>
        <v>37135</v>
      </c>
      <c r="I123" s="6" t="s">
        <v>13</v>
      </c>
      <c r="J123" s="6" t="s">
        <v>3462</v>
      </c>
      <c r="K123" s="6" t="s">
        <v>20</v>
      </c>
    </row>
    <row r="124" spans="1:11" x14ac:dyDescent="0.3">
      <c r="A124" s="6">
        <v>120</v>
      </c>
      <c r="B124" s="6" t="s">
        <v>990</v>
      </c>
      <c r="C124" s="6" t="s">
        <v>86</v>
      </c>
      <c r="D124" s="6" t="s">
        <v>3460</v>
      </c>
      <c r="E124" s="6" t="s">
        <v>3457</v>
      </c>
      <c r="F124" s="6" t="s">
        <v>3724</v>
      </c>
      <c r="G124" s="6" t="str">
        <f>"14"</f>
        <v>14</v>
      </c>
      <c r="H124" s="6" t="str">
        <f>"37139"</f>
        <v>37139</v>
      </c>
      <c r="I124" s="6" t="s">
        <v>13</v>
      </c>
      <c r="J124" s="6" t="s">
        <v>927</v>
      </c>
      <c r="K124" s="6" t="s">
        <v>14</v>
      </c>
    </row>
    <row r="125" spans="1:11" x14ac:dyDescent="0.3">
      <c r="A125" s="8">
        <v>121</v>
      </c>
      <c r="B125" s="8" t="s">
        <v>3725</v>
      </c>
      <c r="C125" s="8" t="s">
        <v>3726</v>
      </c>
      <c r="D125" s="8" t="s">
        <v>3460</v>
      </c>
      <c r="E125" s="8" t="s">
        <v>3457</v>
      </c>
      <c r="F125" s="8" t="s">
        <v>3675</v>
      </c>
      <c r="G125" s="8" t="str">
        <f>"120"</f>
        <v>120</v>
      </c>
      <c r="H125" s="8" t="str">
        <f>"37136"</f>
        <v>37136</v>
      </c>
      <c r="I125" s="8" t="s">
        <v>13</v>
      </c>
      <c r="J125" s="8" t="s">
        <v>925</v>
      </c>
      <c r="K125" s="8" t="s">
        <v>20</v>
      </c>
    </row>
    <row r="126" spans="1:11" x14ac:dyDescent="0.3">
      <c r="A126" s="6">
        <v>122</v>
      </c>
      <c r="B126" s="6" t="s">
        <v>3727</v>
      </c>
      <c r="C126" s="6" t="s">
        <v>3728</v>
      </c>
      <c r="D126" s="6" t="s">
        <v>3460</v>
      </c>
      <c r="E126" s="6" t="s">
        <v>3457</v>
      </c>
      <c r="F126" s="6" t="s">
        <v>3649</v>
      </c>
      <c r="G126" s="6" t="str">
        <f>"22/A"</f>
        <v>22/A</v>
      </c>
      <c r="H126" s="6" t="str">
        <f>"37122"</f>
        <v>37122</v>
      </c>
      <c r="I126" s="6" t="s">
        <v>13</v>
      </c>
      <c r="J126" s="6" t="s">
        <v>927</v>
      </c>
      <c r="K126" s="6" t="s">
        <v>20</v>
      </c>
    </row>
    <row r="127" spans="1:11" x14ac:dyDescent="0.3">
      <c r="A127" s="19">
        <v>123</v>
      </c>
      <c r="B127" s="19" t="s">
        <v>3575</v>
      </c>
      <c r="C127" s="19" t="s">
        <v>3729</v>
      </c>
      <c r="D127" s="19" t="s">
        <v>3460</v>
      </c>
      <c r="E127" s="19" t="s">
        <v>3457</v>
      </c>
      <c r="F127" s="19" t="s">
        <v>3652</v>
      </c>
      <c r="G127" s="19" t="str">
        <f>"1,"</f>
        <v>1,</v>
      </c>
      <c r="H127" s="19" t="str">
        <f>"37135"</f>
        <v>37135</v>
      </c>
      <c r="I127" s="19" t="s">
        <v>13</v>
      </c>
      <c r="J127" s="19" t="s">
        <v>928</v>
      </c>
      <c r="K127" s="19" t="s">
        <v>43</v>
      </c>
    </row>
    <row r="128" spans="1:11" x14ac:dyDescent="0.3">
      <c r="A128" s="6">
        <v>124</v>
      </c>
      <c r="B128" s="6" t="s">
        <v>3730</v>
      </c>
      <c r="C128" s="6" t="s">
        <v>3731</v>
      </c>
      <c r="D128" s="6" t="s">
        <v>3460</v>
      </c>
      <c r="E128" s="6" t="s">
        <v>3457</v>
      </c>
      <c r="F128" s="6" t="s">
        <v>3693</v>
      </c>
      <c r="G128" s="6" t="str">
        <f>"27/A"</f>
        <v>27/A</v>
      </c>
      <c r="H128" s="6" t="str">
        <f>"37138"</f>
        <v>37138</v>
      </c>
      <c r="I128" s="6" t="s">
        <v>13</v>
      </c>
      <c r="J128" s="6" t="s">
        <v>3462</v>
      </c>
      <c r="K128" s="6" t="s">
        <v>14</v>
      </c>
    </row>
    <row r="129" spans="1:11" x14ac:dyDescent="0.3">
      <c r="A129" s="6">
        <v>125</v>
      </c>
      <c r="B129" s="6" t="s">
        <v>3732</v>
      </c>
      <c r="C129" s="6" t="s">
        <v>3733</v>
      </c>
      <c r="D129" s="6" t="s">
        <v>3460</v>
      </c>
      <c r="E129" s="6" t="s">
        <v>3457</v>
      </c>
      <c r="F129" s="6" t="s">
        <v>3681</v>
      </c>
      <c r="G129" s="6" t="str">
        <f>"71"</f>
        <v>71</v>
      </c>
      <c r="H129" s="6" t="str">
        <f>"37122"</f>
        <v>37122</v>
      </c>
      <c r="I129" s="6" t="s">
        <v>13</v>
      </c>
      <c r="J129" s="6" t="s">
        <v>3462</v>
      </c>
      <c r="K129" s="6" t="s">
        <v>165</v>
      </c>
    </row>
    <row r="130" spans="1:11" x14ac:dyDescent="0.3">
      <c r="A130" s="6">
        <v>126</v>
      </c>
      <c r="B130" s="6" t="s">
        <v>3734</v>
      </c>
      <c r="C130" s="6" t="s">
        <v>3735</v>
      </c>
      <c r="D130" s="6" t="s">
        <v>3460</v>
      </c>
      <c r="E130" s="6" t="s">
        <v>3457</v>
      </c>
      <c r="F130" s="6" t="s">
        <v>3649</v>
      </c>
      <c r="G130" s="6" t="str">
        <f>"19"</f>
        <v>19</v>
      </c>
      <c r="H130" s="6" t="str">
        <f>"37122"</f>
        <v>37122</v>
      </c>
      <c r="I130" s="6" t="s">
        <v>13</v>
      </c>
      <c r="J130" s="6" t="s">
        <v>3462</v>
      </c>
      <c r="K130" s="6" t="s">
        <v>66</v>
      </c>
    </row>
    <row r="131" spans="1:11" x14ac:dyDescent="0.3">
      <c r="A131" s="6">
        <v>127</v>
      </c>
      <c r="B131" s="6" t="s">
        <v>3736</v>
      </c>
      <c r="C131" s="6" t="s">
        <v>3737</v>
      </c>
      <c r="D131" s="6" t="s">
        <v>3460</v>
      </c>
      <c r="E131" s="6" t="s">
        <v>3457</v>
      </c>
      <c r="F131" s="6" t="s">
        <v>3738</v>
      </c>
      <c r="G131" s="6" t="str">
        <f>"10"</f>
        <v>10</v>
      </c>
      <c r="H131" s="6" t="str">
        <f>"37121"</f>
        <v>37121</v>
      </c>
      <c r="I131" s="6" t="s">
        <v>13</v>
      </c>
      <c r="J131" s="6" t="s">
        <v>3462</v>
      </c>
      <c r="K131" s="6" t="s">
        <v>66</v>
      </c>
    </row>
    <row r="132" spans="1:11" x14ac:dyDescent="0.3">
      <c r="A132" s="8">
        <v>128</v>
      </c>
      <c r="B132" s="8" t="s">
        <v>3739</v>
      </c>
      <c r="C132" s="8" t="s">
        <v>3740</v>
      </c>
      <c r="D132" s="8" t="s">
        <v>3460</v>
      </c>
      <c r="E132" s="8" t="s">
        <v>3457</v>
      </c>
      <c r="F132" s="8" t="s">
        <v>3741</v>
      </c>
      <c r="G132" s="8" t="str">
        <f>"235"</f>
        <v>235</v>
      </c>
      <c r="H132" s="8" t="str">
        <f>"37135"</f>
        <v>37135</v>
      </c>
      <c r="I132" s="8" t="s">
        <v>13</v>
      </c>
      <c r="J132" s="8" t="s">
        <v>925</v>
      </c>
      <c r="K132" s="8" t="s">
        <v>14</v>
      </c>
    </row>
    <row r="133" spans="1:11" x14ac:dyDescent="0.3">
      <c r="A133" s="8">
        <v>129</v>
      </c>
      <c r="B133" s="8" t="s">
        <v>3742</v>
      </c>
      <c r="C133" s="8" t="s">
        <v>3743</v>
      </c>
      <c r="D133" s="8" t="s">
        <v>3460</v>
      </c>
      <c r="E133" s="8" t="s">
        <v>3457</v>
      </c>
      <c r="F133" s="8" t="s">
        <v>3667</v>
      </c>
      <c r="G133" s="8" t="str">
        <f>"98"</f>
        <v>98</v>
      </c>
      <c r="H133" s="8" t="str">
        <f>"37126"</f>
        <v>37126</v>
      </c>
      <c r="I133" s="8" t="s">
        <v>13</v>
      </c>
      <c r="J133" s="8" t="s">
        <v>925</v>
      </c>
      <c r="K133" s="8" t="s">
        <v>14</v>
      </c>
    </row>
    <row r="134" spans="1:11" x14ac:dyDescent="0.3">
      <c r="A134" s="8">
        <v>130</v>
      </c>
      <c r="B134" s="8" t="s">
        <v>3744</v>
      </c>
      <c r="C134" s="8" t="s">
        <v>3745</v>
      </c>
      <c r="D134" s="8" t="s">
        <v>3460</v>
      </c>
      <c r="E134" s="8" t="s">
        <v>3457</v>
      </c>
      <c r="F134" s="8" t="s">
        <v>590</v>
      </c>
      <c r="G134" s="8" t="str">
        <f>"17"</f>
        <v>17</v>
      </c>
      <c r="H134" s="8" t="str">
        <f>"37135"</f>
        <v>37135</v>
      </c>
      <c r="I134" s="8" t="s">
        <v>13</v>
      </c>
      <c r="J134" s="8" t="s">
        <v>925</v>
      </c>
      <c r="K134" s="8" t="s">
        <v>411</v>
      </c>
    </row>
    <row r="135" spans="1:11" x14ac:dyDescent="0.3">
      <c r="A135" s="8">
        <v>131</v>
      </c>
      <c r="B135" s="8" t="s">
        <v>3746</v>
      </c>
      <c r="C135" s="8" t="s">
        <v>3747</v>
      </c>
      <c r="D135" s="8" t="s">
        <v>3460</v>
      </c>
      <c r="E135" s="8" t="s">
        <v>3457</v>
      </c>
      <c r="F135" s="8" t="s">
        <v>3748</v>
      </c>
      <c r="G135" s="8" t="str">
        <f>"5"</f>
        <v>5</v>
      </c>
      <c r="H135" s="8" t="str">
        <f>"37135"</f>
        <v>37135</v>
      </c>
      <c r="I135" s="8" t="s">
        <v>13</v>
      </c>
      <c r="J135" s="8" t="s">
        <v>925</v>
      </c>
      <c r="K135" s="8" t="s">
        <v>14</v>
      </c>
    </row>
    <row r="136" spans="1:11" x14ac:dyDescent="0.3">
      <c r="A136" s="8">
        <v>132</v>
      </c>
      <c r="B136" s="8" t="s">
        <v>3749</v>
      </c>
      <c r="C136" s="8" t="s">
        <v>3750</v>
      </c>
      <c r="D136" s="8" t="s">
        <v>3460</v>
      </c>
      <c r="E136" s="8" t="s">
        <v>3457</v>
      </c>
      <c r="F136" s="8" t="s">
        <v>3751</v>
      </c>
      <c r="G136" s="8" t="str">
        <f>"8/C"</f>
        <v>8/C</v>
      </c>
      <c r="H136" s="8" t="str">
        <f>"37121"</f>
        <v>37121</v>
      </c>
      <c r="I136" s="8" t="s">
        <v>13</v>
      </c>
      <c r="J136" s="8" t="s">
        <v>925</v>
      </c>
      <c r="K136" s="8" t="s">
        <v>43</v>
      </c>
    </row>
    <row r="137" spans="1:11" x14ac:dyDescent="0.3">
      <c r="A137" s="8">
        <v>133</v>
      </c>
      <c r="B137" s="8" t="s">
        <v>3752</v>
      </c>
      <c r="C137" s="8" t="s">
        <v>3753</v>
      </c>
      <c r="D137" s="8" t="s">
        <v>3460</v>
      </c>
      <c r="E137" s="8" t="s">
        <v>3457</v>
      </c>
      <c r="F137" s="8" t="s">
        <v>3652</v>
      </c>
      <c r="G137" s="8" t="str">
        <f>"1 "</f>
        <v xml:space="preserve">1 </v>
      </c>
      <c r="H137" s="8" t="str">
        <f>"37135"</f>
        <v>37135</v>
      </c>
      <c r="I137" s="8" t="s">
        <v>13</v>
      </c>
      <c r="J137" s="8" t="s">
        <v>925</v>
      </c>
      <c r="K137" s="8" t="s">
        <v>43</v>
      </c>
    </row>
    <row r="138" spans="1:11" x14ac:dyDescent="0.3">
      <c r="A138" s="8">
        <v>134</v>
      </c>
      <c r="B138" s="8" t="s">
        <v>3754</v>
      </c>
      <c r="C138" s="8" t="s">
        <v>3755</v>
      </c>
      <c r="D138" s="8" t="s">
        <v>3460</v>
      </c>
      <c r="E138" s="8" t="s">
        <v>3457</v>
      </c>
      <c r="F138" s="8" t="s">
        <v>3756</v>
      </c>
      <c r="G138" s="8" t="str">
        <f>"131"</f>
        <v>131</v>
      </c>
      <c r="H138" s="8" t="str">
        <f>"37142"</f>
        <v>37142</v>
      </c>
      <c r="I138" s="8" t="s">
        <v>13</v>
      </c>
      <c r="J138" s="8" t="s">
        <v>925</v>
      </c>
      <c r="K138" s="8" t="s">
        <v>777</v>
      </c>
    </row>
    <row r="139" spans="1:11" x14ac:dyDescent="0.3">
      <c r="A139" s="6">
        <v>135</v>
      </c>
      <c r="B139" s="6" t="s">
        <v>3757</v>
      </c>
      <c r="C139" s="6" t="s">
        <v>3758</v>
      </c>
      <c r="D139" s="6" t="s">
        <v>3460</v>
      </c>
      <c r="E139" s="6" t="s">
        <v>3457</v>
      </c>
      <c r="F139" s="6" t="s">
        <v>3759</v>
      </c>
      <c r="G139" s="6" t="str">
        <f>"8/B"</f>
        <v>8/B</v>
      </c>
      <c r="H139" s="6" t="str">
        <f>"37135"</f>
        <v>37135</v>
      </c>
      <c r="I139" s="6" t="s">
        <v>13</v>
      </c>
      <c r="J139" s="6" t="s">
        <v>3462</v>
      </c>
      <c r="K139" s="6" t="s">
        <v>20</v>
      </c>
    </row>
    <row r="140" spans="1:11" x14ac:dyDescent="0.3">
      <c r="A140" s="6">
        <v>136</v>
      </c>
      <c r="B140" s="6" t="s">
        <v>3760</v>
      </c>
      <c r="C140" s="6" t="s">
        <v>3761</v>
      </c>
      <c r="D140" s="6" t="s">
        <v>3460</v>
      </c>
      <c r="E140" s="6" t="s">
        <v>3457</v>
      </c>
      <c r="F140" s="6" t="s">
        <v>3762</v>
      </c>
      <c r="G140" s="6" t="str">
        <f>"11"</f>
        <v>11</v>
      </c>
      <c r="H140" s="6" t="str">
        <f>"37121"</f>
        <v>37121</v>
      </c>
      <c r="I140" s="6" t="s">
        <v>13</v>
      </c>
      <c r="J140" s="6" t="s">
        <v>927</v>
      </c>
      <c r="K140" s="6" t="s">
        <v>14</v>
      </c>
    </row>
    <row r="141" spans="1:11" x14ac:dyDescent="0.3">
      <c r="A141" s="6">
        <v>137</v>
      </c>
      <c r="B141" s="6" t="s">
        <v>3229</v>
      </c>
      <c r="C141" s="6" t="s">
        <v>3763</v>
      </c>
      <c r="D141" s="6" t="s">
        <v>3460</v>
      </c>
      <c r="E141" s="6" t="s">
        <v>3457</v>
      </c>
      <c r="F141" s="6" t="s">
        <v>3764</v>
      </c>
      <c r="G141" s="6" t="str">
        <f>"20"</f>
        <v>20</v>
      </c>
      <c r="H141" s="6" t="str">
        <f>"37131"</f>
        <v>37131</v>
      </c>
      <c r="I141" s="6" t="s">
        <v>13</v>
      </c>
      <c r="J141" s="6" t="s">
        <v>3462</v>
      </c>
      <c r="K141" s="6" t="s">
        <v>14</v>
      </c>
    </row>
    <row r="142" spans="1:11" x14ac:dyDescent="0.3">
      <c r="A142" s="7">
        <v>138</v>
      </c>
      <c r="B142" s="7" t="s">
        <v>3229</v>
      </c>
      <c r="C142" s="7" t="s">
        <v>3765</v>
      </c>
      <c r="D142" s="7" t="s">
        <v>3460</v>
      </c>
      <c r="E142" s="7" t="s">
        <v>3457</v>
      </c>
      <c r="F142" s="7" t="s">
        <v>3766</v>
      </c>
      <c r="G142" s="7" t="str">
        <f>"18"</f>
        <v>18</v>
      </c>
      <c r="H142" s="7" t="str">
        <f>"37142"</f>
        <v>37142</v>
      </c>
      <c r="I142" s="7" t="s">
        <v>13</v>
      </c>
      <c r="J142" s="7" t="s">
        <v>924</v>
      </c>
      <c r="K142" s="7" t="s">
        <v>14</v>
      </c>
    </row>
    <row r="143" spans="1:11" x14ac:dyDescent="0.3">
      <c r="A143" s="6">
        <v>139</v>
      </c>
      <c r="B143" s="6" t="s">
        <v>3229</v>
      </c>
      <c r="C143" s="6" t="s">
        <v>3767</v>
      </c>
      <c r="D143" s="6" t="s">
        <v>3460</v>
      </c>
      <c r="E143" s="6" t="s">
        <v>3457</v>
      </c>
      <c r="F143" s="6" t="s">
        <v>3656</v>
      </c>
      <c r="G143" s="6" t="str">
        <f>"3"</f>
        <v>3</v>
      </c>
      <c r="H143" s="6" t="str">
        <f>"37138"</f>
        <v>37138</v>
      </c>
      <c r="I143" s="6" t="s">
        <v>13</v>
      </c>
      <c r="J143" s="6" t="s">
        <v>3462</v>
      </c>
      <c r="K143" s="6" t="s">
        <v>14</v>
      </c>
    </row>
    <row r="144" spans="1:11" x14ac:dyDescent="0.3">
      <c r="A144" s="8">
        <v>140</v>
      </c>
      <c r="B144" s="8" t="s">
        <v>3768</v>
      </c>
      <c r="C144" s="8" t="s">
        <v>3769</v>
      </c>
      <c r="D144" s="8" t="s">
        <v>3460</v>
      </c>
      <c r="E144" s="8" t="s">
        <v>3457</v>
      </c>
      <c r="F144" s="8" t="s">
        <v>3770</v>
      </c>
      <c r="G144" s="8" t="str">
        <f>"6"</f>
        <v>6</v>
      </c>
      <c r="H144" s="8" t="str">
        <f>"37135"</f>
        <v>37135</v>
      </c>
      <c r="I144" s="8" t="s">
        <v>13</v>
      </c>
      <c r="J144" s="8" t="s">
        <v>925</v>
      </c>
      <c r="K144" s="8" t="s">
        <v>20</v>
      </c>
    </row>
    <row r="145" spans="1:11" x14ac:dyDescent="0.3">
      <c r="A145" s="6">
        <v>141</v>
      </c>
      <c r="B145" s="6" t="s">
        <v>3771</v>
      </c>
      <c r="C145" s="6" t="s">
        <v>3772</v>
      </c>
      <c r="D145" s="6" t="s">
        <v>3460</v>
      </c>
      <c r="E145" s="6" t="s">
        <v>3457</v>
      </c>
      <c r="F145" s="6" t="s">
        <v>3773</v>
      </c>
      <c r="G145" s="6" t="str">
        <f>"61"</f>
        <v>61</v>
      </c>
      <c r="H145" s="6" t="str">
        <f>"37137"</f>
        <v>37137</v>
      </c>
      <c r="I145" s="6" t="s">
        <v>13</v>
      </c>
      <c r="J145" s="6" t="s">
        <v>3462</v>
      </c>
      <c r="K145" s="6" t="s">
        <v>66</v>
      </c>
    </row>
    <row r="146" spans="1:11" x14ac:dyDescent="0.3">
      <c r="A146" s="8">
        <v>142</v>
      </c>
      <c r="B146" s="8" t="s">
        <v>3774</v>
      </c>
      <c r="C146" s="8" t="s">
        <v>3775</v>
      </c>
      <c r="D146" s="8" t="s">
        <v>3460</v>
      </c>
      <c r="E146" s="8" t="s">
        <v>3457</v>
      </c>
      <c r="F146" s="8" t="s">
        <v>3776</v>
      </c>
      <c r="G146" s="8" t="str">
        <f>"19"</f>
        <v>19</v>
      </c>
      <c r="H146" s="8" t="str">
        <f>"37135"</f>
        <v>37135</v>
      </c>
      <c r="I146" s="8" t="s">
        <v>13</v>
      </c>
      <c r="J146" s="8" t="s">
        <v>925</v>
      </c>
      <c r="K146" s="8" t="s">
        <v>235</v>
      </c>
    </row>
    <row r="147" spans="1:11" x14ac:dyDescent="0.3">
      <c r="A147" s="19">
        <v>143</v>
      </c>
      <c r="B147" s="19" t="s">
        <v>1356</v>
      </c>
      <c r="C147" s="19" t="s">
        <v>551</v>
      </c>
      <c r="D147" s="19" t="s">
        <v>3460</v>
      </c>
      <c r="E147" s="19" t="s">
        <v>3457</v>
      </c>
      <c r="F147" s="19" t="s">
        <v>891</v>
      </c>
      <c r="G147" s="19" t="str">
        <f>"33"</f>
        <v>33</v>
      </c>
      <c r="H147" s="19" t="str">
        <f>"37135"</f>
        <v>37135</v>
      </c>
      <c r="I147" s="19" t="s">
        <v>13</v>
      </c>
      <c r="J147" s="19" t="s">
        <v>928</v>
      </c>
      <c r="K147" s="19" t="s">
        <v>14</v>
      </c>
    </row>
    <row r="148" spans="1:11" x14ac:dyDescent="0.3">
      <c r="A148" s="6">
        <v>144</v>
      </c>
      <c r="B148" s="6" t="s">
        <v>3777</v>
      </c>
      <c r="C148" s="6" t="s">
        <v>3778</v>
      </c>
      <c r="D148" s="6" t="s">
        <v>3460</v>
      </c>
      <c r="E148" s="6" t="s">
        <v>3457</v>
      </c>
      <c r="F148" s="6" t="s">
        <v>3779</v>
      </c>
      <c r="G148" s="6" t="str">
        <f>"1"</f>
        <v>1</v>
      </c>
      <c r="H148" s="6" t="str">
        <f>"37135"</f>
        <v>37135</v>
      </c>
      <c r="I148" s="6" t="s">
        <v>13</v>
      </c>
      <c r="J148" s="6" t="s">
        <v>3462</v>
      </c>
      <c r="K148" s="6" t="s">
        <v>66</v>
      </c>
    </row>
    <row r="149" spans="1:11" x14ac:dyDescent="0.3">
      <c r="A149" s="6">
        <v>145</v>
      </c>
      <c r="B149" s="6" t="s">
        <v>3780</v>
      </c>
      <c r="C149" s="6" t="s">
        <v>3781</v>
      </c>
      <c r="D149" s="6" t="s">
        <v>3460</v>
      </c>
      <c r="E149" s="6" t="s">
        <v>3457</v>
      </c>
      <c r="F149" s="6" t="s">
        <v>3782</v>
      </c>
      <c r="G149" s="6" t="str">
        <f>"20"</f>
        <v>20</v>
      </c>
      <c r="H149" s="6" t="str">
        <f>"37135"</f>
        <v>37135</v>
      </c>
      <c r="I149" s="6" t="s">
        <v>13</v>
      </c>
      <c r="J149" s="6" t="s">
        <v>3462</v>
      </c>
      <c r="K149" s="6" t="s">
        <v>165</v>
      </c>
    </row>
    <row r="150" spans="1:11" x14ac:dyDescent="0.3">
      <c r="A150" s="8">
        <v>146</v>
      </c>
      <c r="B150" s="8" t="s">
        <v>3783</v>
      </c>
      <c r="C150" s="8" t="s">
        <v>3784</v>
      </c>
      <c r="D150" s="8" t="s">
        <v>3460</v>
      </c>
      <c r="E150" s="8" t="s">
        <v>3457</v>
      </c>
      <c r="F150" s="8" t="s">
        <v>692</v>
      </c>
      <c r="G150" s="8" t="str">
        <f>"10"</f>
        <v>10</v>
      </c>
      <c r="H150" s="8" t="str">
        <f>"37135"</f>
        <v>37135</v>
      </c>
      <c r="I150" s="8" t="s">
        <v>13</v>
      </c>
      <c r="J150" s="8" t="s">
        <v>925</v>
      </c>
      <c r="K150" s="8" t="s">
        <v>66</v>
      </c>
    </row>
    <row r="151" spans="1:11" x14ac:dyDescent="0.3">
      <c r="A151" s="6">
        <v>147</v>
      </c>
      <c r="B151" s="6" t="s">
        <v>1010</v>
      </c>
      <c r="C151" s="6" t="s">
        <v>110</v>
      </c>
      <c r="D151" s="6" t="s">
        <v>3460</v>
      </c>
      <c r="E151" s="6" t="s">
        <v>3457</v>
      </c>
      <c r="F151" s="6" t="s">
        <v>3785</v>
      </c>
      <c r="G151" s="6" t="str">
        <f>"6"</f>
        <v>6</v>
      </c>
      <c r="H151" s="6" t="str">
        <f>"37136"</f>
        <v>37136</v>
      </c>
      <c r="I151" s="6" t="s">
        <v>13</v>
      </c>
      <c r="J151" s="6" t="s">
        <v>927</v>
      </c>
      <c r="K151" s="6" t="s">
        <v>14</v>
      </c>
    </row>
    <row r="152" spans="1:11" x14ac:dyDescent="0.3">
      <c r="A152" s="6">
        <v>148</v>
      </c>
      <c r="B152" s="6" t="s">
        <v>3786</v>
      </c>
      <c r="C152" s="6" t="s">
        <v>3787</v>
      </c>
      <c r="D152" s="6" t="s">
        <v>3460</v>
      </c>
      <c r="E152" s="6" t="s">
        <v>3457</v>
      </c>
      <c r="F152" s="6" t="s">
        <v>3788</v>
      </c>
      <c r="G152" s="6" t="str">
        <f>"4"</f>
        <v>4</v>
      </c>
      <c r="H152" s="6" t="str">
        <f>"37129"</f>
        <v>37129</v>
      </c>
      <c r="I152" s="6" t="s">
        <v>13</v>
      </c>
      <c r="J152" s="6" t="s">
        <v>3462</v>
      </c>
      <c r="K152" s="6" t="s">
        <v>14</v>
      </c>
    </row>
    <row r="153" spans="1:11" x14ac:dyDescent="0.3">
      <c r="A153" s="6">
        <v>149</v>
      </c>
      <c r="B153" s="6" t="s">
        <v>3786</v>
      </c>
      <c r="C153" s="6" t="s">
        <v>3789</v>
      </c>
      <c r="D153" s="6" t="s">
        <v>3460</v>
      </c>
      <c r="E153" s="6" t="s">
        <v>3457</v>
      </c>
      <c r="F153" s="6" t="s">
        <v>3790</v>
      </c>
      <c r="G153" s="6" t="str">
        <f>"9"</f>
        <v>9</v>
      </c>
      <c r="H153" s="6" t="str">
        <f>"37121"</f>
        <v>37121</v>
      </c>
      <c r="I153" s="6" t="s">
        <v>13</v>
      </c>
      <c r="J153" s="6" t="s">
        <v>3462</v>
      </c>
      <c r="K153" s="6" t="s">
        <v>224</v>
      </c>
    </row>
    <row r="154" spans="1:11" x14ac:dyDescent="0.3">
      <c r="A154" s="6">
        <v>150</v>
      </c>
      <c r="B154" s="6" t="s">
        <v>3791</v>
      </c>
      <c r="C154" s="6" t="s">
        <v>3792</v>
      </c>
      <c r="D154" s="6" t="s">
        <v>3460</v>
      </c>
      <c r="E154" s="6" t="s">
        <v>3457</v>
      </c>
      <c r="F154" s="6" t="s">
        <v>3793</v>
      </c>
      <c r="G154" s="6" t="str">
        <f>"7/9"</f>
        <v>7/9</v>
      </c>
      <c r="H154" s="6" t="str">
        <f>"37134"</f>
        <v>37134</v>
      </c>
      <c r="I154" s="6" t="s">
        <v>13</v>
      </c>
      <c r="J154" s="6" t="s">
        <v>927</v>
      </c>
      <c r="K154" s="6" t="s">
        <v>14</v>
      </c>
    </row>
    <row r="155" spans="1:11" x14ac:dyDescent="0.3">
      <c r="A155" s="8">
        <v>151</v>
      </c>
      <c r="B155" s="8" t="s">
        <v>3794</v>
      </c>
      <c r="C155" s="8" t="s">
        <v>3795</v>
      </c>
      <c r="D155" s="8" t="s">
        <v>3460</v>
      </c>
      <c r="E155" s="8" t="s">
        <v>3457</v>
      </c>
      <c r="F155" s="8" t="s">
        <v>3796</v>
      </c>
      <c r="G155" s="8" t="str">
        <f>"58"</f>
        <v>58</v>
      </c>
      <c r="H155" s="8" t="str">
        <f>"37136"</f>
        <v>37136</v>
      </c>
      <c r="I155" s="8" t="s">
        <v>13</v>
      </c>
      <c r="J155" s="8" t="s">
        <v>925</v>
      </c>
      <c r="K155" s="8" t="s">
        <v>43</v>
      </c>
    </row>
    <row r="156" spans="1:11" x14ac:dyDescent="0.3">
      <c r="A156" s="6">
        <v>152</v>
      </c>
      <c r="B156" s="6" t="s">
        <v>3797</v>
      </c>
      <c r="C156" s="6" t="s">
        <v>3798</v>
      </c>
      <c r="D156" s="6" t="s">
        <v>3460</v>
      </c>
      <c r="E156" s="6" t="s">
        <v>3457</v>
      </c>
      <c r="F156" s="6" t="s">
        <v>3799</v>
      </c>
      <c r="G156" s="6" t="str">
        <f>"4/E"</f>
        <v>4/E</v>
      </c>
      <c r="H156" s="6" t="str">
        <f>"37122"</f>
        <v>37122</v>
      </c>
      <c r="I156" s="6" t="s">
        <v>13</v>
      </c>
      <c r="J156" s="6" t="s">
        <v>3462</v>
      </c>
      <c r="K156" s="6" t="s">
        <v>20</v>
      </c>
    </row>
    <row r="157" spans="1:11" x14ac:dyDescent="0.3">
      <c r="A157" s="8">
        <v>153</v>
      </c>
      <c r="B157" s="8" t="s">
        <v>3800</v>
      </c>
      <c r="C157" s="8" t="s">
        <v>3801</v>
      </c>
      <c r="D157" s="8" t="s">
        <v>3460</v>
      </c>
      <c r="E157" s="8" t="s">
        <v>3457</v>
      </c>
      <c r="F157" s="8" t="s">
        <v>3793</v>
      </c>
      <c r="G157" s="8" t="str">
        <f>"133"</f>
        <v>133</v>
      </c>
      <c r="H157" s="8" t="str">
        <f>"37134"</f>
        <v>37134</v>
      </c>
      <c r="I157" s="8" t="s">
        <v>13</v>
      </c>
      <c r="J157" s="8" t="s">
        <v>925</v>
      </c>
      <c r="K157" s="8" t="s">
        <v>14</v>
      </c>
    </row>
    <row r="158" spans="1:11" x14ac:dyDescent="0.3">
      <c r="A158" s="8">
        <v>154</v>
      </c>
      <c r="B158" s="8" t="s">
        <v>3802</v>
      </c>
      <c r="C158" s="8" t="s">
        <v>3803</v>
      </c>
      <c r="D158" s="8" t="s">
        <v>3460</v>
      </c>
      <c r="E158" s="8" t="s">
        <v>3457</v>
      </c>
      <c r="F158" s="8" t="s">
        <v>3804</v>
      </c>
      <c r="G158" s="8" t="str">
        <f>"56"</f>
        <v>56</v>
      </c>
      <c r="H158" s="8" t="str">
        <f>"37138"</f>
        <v>37138</v>
      </c>
      <c r="I158" s="8" t="s">
        <v>13</v>
      </c>
      <c r="J158" s="8" t="s">
        <v>925</v>
      </c>
      <c r="K158" s="8" t="s">
        <v>3805</v>
      </c>
    </row>
    <row r="159" spans="1:11" x14ac:dyDescent="0.3">
      <c r="A159" s="6">
        <v>155</v>
      </c>
      <c r="B159" s="6" t="s">
        <v>3806</v>
      </c>
      <c r="C159" s="6" t="s">
        <v>3807</v>
      </c>
      <c r="D159" s="6" t="s">
        <v>3460</v>
      </c>
      <c r="E159" s="6" t="s">
        <v>3457</v>
      </c>
      <c r="F159" s="6" t="s">
        <v>3808</v>
      </c>
      <c r="G159" s="6" t="str">
        <f>"3/B"</f>
        <v>3/B</v>
      </c>
      <c r="H159" s="6" t="str">
        <f>"37129"</f>
        <v>37129</v>
      </c>
      <c r="I159" s="6" t="s">
        <v>13</v>
      </c>
      <c r="J159" s="6" t="s">
        <v>3462</v>
      </c>
      <c r="K159" s="6" t="s">
        <v>43</v>
      </c>
    </row>
    <row r="160" spans="1:11" x14ac:dyDescent="0.3">
      <c r="A160" s="6">
        <v>156</v>
      </c>
      <c r="B160" s="6" t="s">
        <v>3809</v>
      </c>
      <c r="C160" s="6" t="s">
        <v>3810</v>
      </c>
      <c r="D160" s="6" t="s">
        <v>3460</v>
      </c>
      <c r="E160" s="6" t="s">
        <v>3457</v>
      </c>
      <c r="F160" s="6" t="s">
        <v>891</v>
      </c>
      <c r="G160" s="6" t="str">
        <f>"24"</f>
        <v>24</v>
      </c>
      <c r="H160" s="6" t="str">
        <f>"37135"</f>
        <v>37135</v>
      </c>
      <c r="I160" s="6" t="s">
        <v>13</v>
      </c>
      <c r="J160" s="6" t="s">
        <v>3462</v>
      </c>
      <c r="K160" s="6" t="s">
        <v>43</v>
      </c>
    </row>
    <row r="161" spans="1:11" x14ac:dyDescent="0.3">
      <c r="A161" s="8">
        <v>157</v>
      </c>
      <c r="B161" s="8" t="s">
        <v>2364</v>
      </c>
      <c r="C161" s="8" t="s">
        <v>3811</v>
      </c>
      <c r="D161" s="8" t="s">
        <v>3460</v>
      </c>
      <c r="E161" s="8" t="s">
        <v>3457</v>
      </c>
      <c r="F161" s="8" t="s">
        <v>3652</v>
      </c>
      <c r="G161" s="8" t="str">
        <f>"1  "</f>
        <v xml:space="preserve">1  </v>
      </c>
      <c r="H161" s="8" t="str">
        <f>"37135"</f>
        <v>37135</v>
      </c>
      <c r="I161" s="8" t="s">
        <v>13</v>
      </c>
      <c r="J161" s="8" t="s">
        <v>925</v>
      </c>
      <c r="K161" s="8" t="s">
        <v>43</v>
      </c>
    </row>
    <row r="162" spans="1:11" x14ac:dyDescent="0.3">
      <c r="A162" s="6">
        <v>158</v>
      </c>
      <c r="B162" s="6" t="s">
        <v>3812</v>
      </c>
      <c r="C162" s="6" t="s">
        <v>3813</v>
      </c>
      <c r="D162" s="6" t="s">
        <v>3460</v>
      </c>
      <c r="E162" s="6" t="s">
        <v>3457</v>
      </c>
      <c r="F162" s="6" t="s">
        <v>2024</v>
      </c>
      <c r="G162" s="6" t="str">
        <f>"22"</f>
        <v>22</v>
      </c>
      <c r="H162" s="6" t="str">
        <f>"37121"</f>
        <v>37121</v>
      </c>
      <c r="I162" s="6" t="s">
        <v>13</v>
      </c>
      <c r="J162" s="6" t="s">
        <v>3462</v>
      </c>
      <c r="K162" s="6" t="s">
        <v>224</v>
      </c>
    </row>
    <row r="163" spans="1:11" x14ac:dyDescent="0.3">
      <c r="A163" s="8">
        <v>159</v>
      </c>
      <c r="B163" s="8" t="s">
        <v>3814</v>
      </c>
      <c r="C163" s="8" t="s">
        <v>3815</v>
      </c>
      <c r="D163" s="8" t="s">
        <v>3460</v>
      </c>
      <c r="E163" s="8" t="s">
        <v>3457</v>
      </c>
      <c r="F163" s="8" t="s">
        <v>3816</v>
      </c>
      <c r="G163" s="8" t="str">
        <f>"2"</f>
        <v>2</v>
      </c>
      <c r="H163" s="8" t="str">
        <f>"37122"</f>
        <v>37122</v>
      </c>
      <c r="I163" s="8" t="s">
        <v>13</v>
      </c>
      <c r="J163" s="8" t="s">
        <v>925</v>
      </c>
      <c r="K163" s="8" t="s">
        <v>14</v>
      </c>
    </row>
    <row r="164" spans="1:11" x14ac:dyDescent="0.3">
      <c r="A164" s="6">
        <v>160</v>
      </c>
      <c r="B164" s="6" t="s">
        <v>3817</v>
      </c>
      <c r="C164" s="6" t="s">
        <v>3818</v>
      </c>
      <c r="D164" s="6" t="s">
        <v>3460</v>
      </c>
      <c r="E164" s="6" t="s">
        <v>3457</v>
      </c>
      <c r="F164" s="6" t="s">
        <v>891</v>
      </c>
      <c r="G164" s="6" t="str">
        <f>"52"</f>
        <v>52</v>
      </c>
      <c r="H164" s="6" t="str">
        <f>"37135"</f>
        <v>37135</v>
      </c>
      <c r="I164" s="6" t="s">
        <v>13</v>
      </c>
      <c r="J164" s="6" t="s">
        <v>3462</v>
      </c>
      <c r="K164" s="6" t="s">
        <v>411</v>
      </c>
    </row>
    <row r="165" spans="1:11" x14ac:dyDescent="0.3">
      <c r="A165" s="19">
        <v>161</v>
      </c>
      <c r="B165" s="19" t="s">
        <v>3819</v>
      </c>
      <c r="C165" s="19" t="s">
        <v>3820</v>
      </c>
      <c r="D165" s="19" t="s">
        <v>3460</v>
      </c>
      <c r="E165" s="19" t="s">
        <v>3457</v>
      </c>
      <c r="F165" s="19" t="s">
        <v>3821</v>
      </c>
      <c r="G165" s="19" t="str">
        <f>"7"</f>
        <v>7</v>
      </c>
      <c r="H165" s="19" t="str">
        <f>"37122"</f>
        <v>37122</v>
      </c>
      <c r="I165" s="19" t="s">
        <v>13</v>
      </c>
      <c r="J165" s="19" t="s">
        <v>928</v>
      </c>
      <c r="K165" s="19" t="s">
        <v>488</v>
      </c>
    </row>
    <row r="166" spans="1:11" x14ac:dyDescent="0.3">
      <c r="A166" s="6">
        <v>162</v>
      </c>
      <c r="B166" s="6" t="s">
        <v>1584</v>
      </c>
      <c r="C166" s="6" t="s">
        <v>815</v>
      </c>
      <c r="D166" s="6" t="s">
        <v>3460</v>
      </c>
      <c r="E166" s="6" t="s">
        <v>3457</v>
      </c>
      <c r="F166" s="6" t="s">
        <v>3822</v>
      </c>
      <c r="G166" s="6" t="str">
        <f>"76"</f>
        <v>76</v>
      </c>
      <c r="H166" s="6" t="str">
        <f>"37132"</f>
        <v>37132</v>
      </c>
      <c r="I166" s="6" t="s">
        <v>13</v>
      </c>
      <c r="J166" s="6" t="s">
        <v>927</v>
      </c>
      <c r="K166" s="6" t="s">
        <v>14</v>
      </c>
    </row>
    <row r="167" spans="1:11" x14ac:dyDescent="0.3">
      <c r="A167" s="6">
        <v>163</v>
      </c>
      <c r="B167" s="6" t="s">
        <v>1584</v>
      </c>
      <c r="C167" s="6" t="s">
        <v>815</v>
      </c>
      <c r="D167" s="6" t="s">
        <v>3460</v>
      </c>
      <c r="E167" s="6" t="s">
        <v>3457</v>
      </c>
      <c r="F167" s="6" t="s">
        <v>3823</v>
      </c>
      <c r="G167" s="6" t="str">
        <f>"10"</f>
        <v>10</v>
      </c>
      <c r="H167" s="6" t="str">
        <f>"37124"</f>
        <v>37124</v>
      </c>
      <c r="I167" s="6" t="s">
        <v>13</v>
      </c>
      <c r="J167" s="6" t="s">
        <v>927</v>
      </c>
      <c r="K167" s="6" t="s">
        <v>14</v>
      </c>
    </row>
    <row r="168" spans="1:11" x14ac:dyDescent="0.3">
      <c r="A168" s="6">
        <v>164</v>
      </c>
      <c r="B168" s="6" t="s">
        <v>1584</v>
      </c>
      <c r="C168" s="6" t="s">
        <v>815</v>
      </c>
      <c r="D168" s="6" t="s">
        <v>3460</v>
      </c>
      <c r="E168" s="6" t="s">
        <v>3457</v>
      </c>
      <c r="F168" s="6" t="s">
        <v>3824</v>
      </c>
      <c r="G168" s="6" t="str">
        <f>"12"</f>
        <v>12</v>
      </c>
      <c r="H168" s="6" t="str">
        <f>"37138"</f>
        <v>37138</v>
      </c>
      <c r="I168" s="6" t="s">
        <v>13</v>
      </c>
      <c r="J168" s="6" t="s">
        <v>927</v>
      </c>
      <c r="K168" s="6" t="s">
        <v>14</v>
      </c>
    </row>
    <row r="169" spans="1:11" x14ac:dyDescent="0.3">
      <c r="A169" s="6">
        <v>165</v>
      </c>
      <c r="B169" s="6" t="s">
        <v>3825</v>
      </c>
      <c r="C169" s="6" t="s">
        <v>3826</v>
      </c>
      <c r="D169" s="6" t="s">
        <v>3460</v>
      </c>
      <c r="E169" s="6" t="s">
        <v>3457</v>
      </c>
      <c r="F169" s="6" t="s">
        <v>552</v>
      </c>
      <c r="G169" s="6" t="str">
        <f>"11"</f>
        <v>11</v>
      </c>
      <c r="H169" s="6" t="str">
        <f>"37122"</f>
        <v>37122</v>
      </c>
      <c r="I169" s="6" t="s">
        <v>13</v>
      </c>
      <c r="J169" s="6" t="s">
        <v>3462</v>
      </c>
      <c r="K169" s="6" t="s">
        <v>20</v>
      </c>
    </row>
    <row r="170" spans="1:11" x14ac:dyDescent="0.3">
      <c r="A170" s="8">
        <v>166</v>
      </c>
      <c r="B170" s="8" t="s">
        <v>3827</v>
      </c>
      <c r="C170" s="8" t="s">
        <v>3828</v>
      </c>
      <c r="D170" s="8" t="s">
        <v>3460</v>
      </c>
      <c r="E170" s="8" t="s">
        <v>3457</v>
      </c>
      <c r="F170" s="8" t="s">
        <v>3681</v>
      </c>
      <c r="G170" s="8" t="str">
        <f>"115/A"</f>
        <v>115/A</v>
      </c>
      <c r="H170" s="8" t="str">
        <f>"37122"</f>
        <v>37122</v>
      </c>
      <c r="I170" s="8" t="s">
        <v>13</v>
      </c>
      <c r="J170" s="8" t="s">
        <v>925</v>
      </c>
      <c r="K170" s="8" t="s">
        <v>342</v>
      </c>
    </row>
    <row r="171" spans="1:11" x14ac:dyDescent="0.3">
      <c r="A171" s="8">
        <v>167</v>
      </c>
      <c r="B171" s="8" t="s">
        <v>3829</v>
      </c>
      <c r="C171" s="8" t="s">
        <v>3830</v>
      </c>
      <c r="D171" s="8" t="s">
        <v>3460</v>
      </c>
      <c r="E171" s="8" t="s">
        <v>3457</v>
      </c>
      <c r="F171" s="8" t="s">
        <v>1851</v>
      </c>
      <c r="G171" s="8" t="str">
        <f>"22"</f>
        <v>22</v>
      </c>
      <c r="H171" s="8" t="str">
        <f>"37121"</f>
        <v>37121</v>
      </c>
      <c r="I171" s="8" t="s">
        <v>13</v>
      </c>
      <c r="J171" s="8" t="s">
        <v>925</v>
      </c>
      <c r="K171" s="8" t="s">
        <v>43</v>
      </c>
    </row>
    <row r="172" spans="1:11" x14ac:dyDescent="0.3">
      <c r="A172" s="8">
        <v>168</v>
      </c>
      <c r="B172" s="8" t="s">
        <v>3831</v>
      </c>
      <c r="C172" s="8" t="s">
        <v>3832</v>
      </c>
      <c r="D172" s="8" t="s">
        <v>3460</v>
      </c>
      <c r="E172" s="8" t="s">
        <v>3457</v>
      </c>
      <c r="F172" s="8" t="s">
        <v>3833</v>
      </c>
      <c r="G172" s="8" t="str">
        <f>"61"</f>
        <v>61</v>
      </c>
      <c r="H172" s="8" t="str">
        <f>"37131"</f>
        <v>37131</v>
      </c>
      <c r="I172" s="8" t="s">
        <v>13</v>
      </c>
      <c r="J172" s="8" t="s">
        <v>925</v>
      </c>
      <c r="K172" s="8" t="s">
        <v>20</v>
      </c>
    </row>
    <row r="173" spans="1:11" x14ac:dyDescent="0.3">
      <c r="A173" s="6">
        <v>169</v>
      </c>
      <c r="B173" s="6" t="s">
        <v>3834</v>
      </c>
      <c r="C173" s="6" t="s">
        <v>3835</v>
      </c>
      <c r="D173" s="6" t="s">
        <v>3460</v>
      </c>
      <c r="E173" s="6" t="s">
        <v>3457</v>
      </c>
      <c r="F173" s="6" t="s">
        <v>3764</v>
      </c>
      <c r="G173" s="6" t="str">
        <f>"29"</f>
        <v>29</v>
      </c>
      <c r="H173" s="6" t="str">
        <f>"37131"</f>
        <v>37131</v>
      </c>
      <c r="I173" s="6" t="s">
        <v>13</v>
      </c>
      <c r="J173" s="6" t="s">
        <v>927</v>
      </c>
      <c r="K173" s="6" t="s">
        <v>14</v>
      </c>
    </row>
    <row r="174" spans="1:11" x14ac:dyDescent="0.3">
      <c r="A174" s="6">
        <v>170</v>
      </c>
      <c r="B174" s="6" t="s">
        <v>3836</v>
      </c>
      <c r="C174" s="6" t="s">
        <v>3837</v>
      </c>
      <c r="D174" s="6" t="s">
        <v>3460</v>
      </c>
      <c r="E174" s="6" t="s">
        <v>3457</v>
      </c>
      <c r="F174" s="6" t="s">
        <v>3710</v>
      </c>
      <c r="G174" s="6" t="str">
        <f>"2"</f>
        <v>2</v>
      </c>
      <c r="H174" s="6" t="str">
        <f>"37135"</f>
        <v>37135</v>
      </c>
      <c r="I174" s="6" t="s">
        <v>13</v>
      </c>
      <c r="J174" s="6" t="s">
        <v>3462</v>
      </c>
      <c r="K174" s="6" t="s">
        <v>14</v>
      </c>
    </row>
    <row r="175" spans="1:11" x14ac:dyDescent="0.3">
      <c r="A175" s="6">
        <v>171</v>
      </c>
      <c r="B175" s="6" t="s">
        <v>3838</v>
      </c>
      <c r="C175" s="6" t="s">
        <v>3839</v>
      </c>
      <c r="D175" s="6" t="s">
        <v>3460</v>
      </c>
      <c r="E175" s="6" t="s">
        <v>3457</v>
      </c>
      <c r="F175" s="6" t="s">
        <v>3840</v>
      </c>
      <c r="G175" s="6" t="str">
        <f>"6"</f>
        <v>6</v>
      </c>
      <c r="H175" s="6" t="str">
        <f>"37121"</f>
        <v>37121</v>
      </c>
      <c r="I175" s="6" t="s">
        <v>13</v>
      </c>
      <c r="J175" s="6" t="s">
        <v>3462</v>
      </c>
      <c r="K175" s="6" t="s">
        <v>20</v>
      </c>
    </row>
    <row r="176" spans="1:11" x14ac:dyDescent="0.3">
      <c r="A176" s="6">
        <v>172</v>
      </c>
      <c r="B176" s="6" t="s">
        <v>3841</v>
      </c>
      <c r="C176" s="6" t="s">
        <v>3842</v>
      </c>
      <c r="D176" s="6" t="s">
        <v>3460</v>
      </c>
      <c r="E176" s="6" t="s">
        <v>3457</v>
      </c>
      <c r="F176" s="6" t="s">
        <v>3693</v>
      </c>
      <c r="G176" s="6" t="str">
        <f>"60"</f>
        <v>60</v>
      </c>
      <c r="H176" s="6" t="str">
        <f>"37138"</f>
        <v>37138</v>
      </c>
      <c r="I176" s="6" t="s">
        <v>13</v>
      </c>
      <c r="J176" s="6" t="s">
        <v>3462</v>
      </c>
      <c r="K176" s="6" t="s">
        <v>62</v>
      </c>
    </row>
    <row r="177" spans="1:11" x14ac:dyDescent="0.3">
      <c r="A177" s="6">
        <v>173</v>
      </c>
      <c r="B177" s="6" t="s">
        <v>3843</v>
      </c>
      <c r="C177" s="6" t="s">
        <v>3844</v>
      </c>
      <c r="D177" s="6" t="s">
        <v>3460</v>
      </c>
      <c r="E177" s="6" t="s">
        <v>3457</v>
      </c>
      <c r="F177" s="6" t="s">
        <v>3845</v>
      </c>
      <c r="G177" s="6" t="str">
        <f>"19"</f>
        <v>19</v>
      </c>
      <c r="H177" s="6" t="str">
        <f>"37138"</f>
        <v>37138</v>
      </c>
      <c r="I177" s="6" t="s">
        <v>13</v>
      </c>
      <c r="J177" s="6" t="s">
        <v>927</v>
      </c>
      <c r="K177" s="6" t="s">
        <v>224</v>
      </c>
    </row>
    <row r="178" spans="1:11" x14ac:dyDescent="0.3">
      <c r="A178" s="6">
        <v>174</v>
      </c>
      <c r="B178" s="6" t="s">
        <v>3487</v>
      </c>
      <c r="C178" s="6" t="s">
        <v>3488</v>
      </c>
      <c r="D178" s="6" t="s">
        <v>3460</v>
      </c>
      <c r="E178" s="6" t="s">
        <v>3457</v>
      </c>
      <c r="F178" s="6" t="s">
        <v>3756</v>
      </c>
      <c r="G178" s="6" t="str">
        <f>"141"</f>
        <v>141</v>
      </c>
      <c r="H178" s="6" t="str">
        <f>"37142"</f>
        <v>37142</v>
      </c>
      <c r="I178" s="6" t="s">
        <v>13</v>
      </c>
      <c r="J178" s="6" t="s">
        <v>927</v>
      </c>
      <c r="K178" s="6" t="s">
        <v>14</v>
      </c>
    </row>
    <row r="179" spans="1:11" x14ac:dyDescent="0.3">
      <c r="A179" s="6">
        <v>175</v>
      </c>
      <c r="B179" s="6" t="s">
        <v>3846</v>
      </c>
      <c r="C179" s="6" t="s">
        <v>3601</v>
      </c>
      <c r="D179" s="6" t="s">
        <v>3460</v>
      </c>
      <c r="E179" s="6" t="s">
        <v>3457</v>
      </c>
      <c r="F179" s="6" t="s">
        <v>3643</v>
      </c>
      <c r="G179" s="6" t="str">
        <f>"46"</f>
        <v>46</v>
      </c>
      <c r="H179" s="6" t="str">
        <f>"37132"</f>
        <v>37132</v>
      </c>
      <c r="I179" s="6" t="s">
        <v>13</v>
      </c>
      <c r="J179" s="6" t="s">
        <v>927</v>
      </c>
      <c r="K179" s="6" t="s">
        <v>115</v>
      </c>
    </row>
    <row r="180" spans="1:11" x14ac:dyDescent="0.3">
      <c r="A180" s="6">
        <v>176</v>
      </c>
      <c r="B180" s="6" t="s">
        <v>1836</v>
      </c>
      <c r="C180" s="6" t="s">
        <v>119</v>
      </c>
      <c r="D180" s="6" t="s">
        <v>3460</v>
      </c>
      <c r="E180" s="6" t="s">
        <v>3457</v>
      </c>
      <c r="F180" s="6" t="s">
        <v>3847</v>
      </c>
      <c r="G180" s="6" t="str">
        <f>"2"</f>
        <v>2</v>
      </c>
      <c r="H180" s="6" t="str">
        <f>"37123"</f>
        <v>37123</v>
      </c>
      <c r="I180" s="6" t="s">
        <v>13</v>
      </c>
      <c r="J180" s="6" t="s">
        <v>927</v>
      </c>
      <c r="K180" s="6" t="s">
        <v>14</v>
      </c>
    </row>
    <row r="181" spans="1:11" x14ac:dyDescent="0.3">
      <c r="A181" s="6">
        <v>177</v>
      </c>
      <c r="B181" s="6" t="s">
        <v>1836</v>
      </c>
      <c r="C181" s="6" t="s">
        <v>119</v>
      </c>
      <c r="D181" s="6" t="s">
        <v>3460</v>
      </c>
      <c r="E181" s="6" t="s">
        <v>3457</v>
      </c>
      <c r="F181" s="6" t="s">
        <v>3848</v>
      </c>
      <c r="G181" s="6" t="str">
        <f>"63/A"</f>
        <v>63/A</v>
      </c>
      <c r="H181" s="6" t="str">
        <f>"37131"</f>
        <v>37131</v>
      </c>
      <c r="I181" s="6" t="s">
        <v>13</v>
      </c>
      <c r="J181" s="6" t="s">
        <v>927</v>
      </c>
      <c r="K181" s="6" t="s">
        <v>14</v>
      </c>
    </row>
    <row r="182" spans="1:11" x14ac:dyDescent="0.3">
      <c r="A182" s="6">
        <v>178</v>
      </c>
      <c r="B182" s="6" t="s">
        <v>3849</v>
      </c>
      <c r="C182" s="6" t="s">
        <v>3850</v>
      </c>
      <c r="D182" s="6" t="s">
        <v>3460</v>
      </c>
      <c r="E182" s="6" t="s">
        <v>3457</v>
      </c>
      <c r="F182" s="6" t="s">
        <v>3851</v>
      </c>
      <c r="G182" s="6" t="str">
        <f>"29/C"</f>
        <v>29/C</v>
      </c>
      <c r="H182" s="6" t="str">
        <f>"37135"</f>
        <v>37135</v>
      </c>
      <c r="I182" s="6" t="s">
        <v>13</v>
      </c>
      <c r="J182" s="6" t="s">
        <v>3462</v>
      </c>
      <c r="K182" s="6" t="s">
        <v>20</v>
      </c>
    </row>
    <row r="183" spans="1:11" x14ac:dyDescent="0.3">
      <c r="A183" s="6">
        <v>179</v>
      </c>
      <c r="B183" s="6" t="s">
        <v>3852</v>
      </c>
      <c r="C183" s="6" t="s">
        <v>3853</v>
      </c>
      <c r="D183" s="6" t="s">
        <v>3460</v>
      </c>
      <c r="E183" s="6" t="s">
        <v>3457</v>
      </c>
      <c r="F183" s="6" t="s">
        <v>3854</v>
      </c>
      <c r="G183" s="6" t="str">
        <f>"53"</f>
        <v>53</v>
      </c>
      <c r="H183" s="6" t="str">
        <f>"37135"</f>
        <v>37135</v>
      </c>
      <c r="I183" s="6" t="s">
        <v>13</v>
      </c>
      <c r="J183" s="6" t="s">
        <v>3462</v>
      </c>
      <c r="K183" s="6" t="s">
        <v>254</v>
      </c>
    </row>
    <row r="184" spans="1:11" x14ac:dyDescent="0.3">
      <c r="A184" s="8">
        <v>180</v>
      </c>
      <c r="B184" s="8" t="s">
        <v>3855</v>
      </c>
      <c r="C184" s="8" t="s">
        <v>3856</v>
      </c>
      <c r="D184" s="8" t="s">
        <v>3460</v>
      </c>
      <c r="E184" s="8" t="s">
        <v>3457</v>
      </c>
      <c r="F184" s="8" t="s">
        <v>3857</v>
      </c>
      <c r="G184" s="8" t="str">
        <f>"17"</f>
        <v>17</v>
      </c>
      <c r="H184" s="8" t="str">
        <f>"37129"</f>
        <v>37129</v>
      </c>
      <c r="I184" s="8" t="s">
        <v>13</v>
      </c>
      <c r="J184" s="8" t="s">
        <v>925</v>
      </c>
      <c r="K184" s="8" t="s">
        <v>43</v>
      </c>
    </row>
    <row r="185" spans="1:11" x14ac:dyDescent="0.3">
      <c r="A185" s="8">
        <v>181</v>
      </c>
      <c r="B185" s="8" t="s">
        <v>3858</v>
      </c>
      <c r="C185" s="8" t="s">
        <v>3859</v>
      </c>
      <c r="D185" s="8" t="s">
        <v>3460</v>
      </c>
      <c r="E185" s="8" t="s">
        <v>3457</v>
      </c>
      <c r="F185" s="8" t="s">
        <v>3860</v>
      </c>
      <c r="G185" s="8" t="str">
        <f>"6/A"</f>
        <v>6/A</v>
      </c>
      <c r="H185" s="8" t="str">
        <f>"37122"</f>
        <v>37122</v>
      </c>
      <c r="I185" s="8" t="s">
        <v>13</v>
      </c>
      <c r="J185" s="8" t="s">
        <v>925</v>
      </c>
      <c r="K185" s="8" t="s">
        <v>14</v>
      </c>
    </row>
    <row r="186" spans="1:11" x14ac:dyDescent="0.3">
      <c r="A186" s="8">
        <v>182</v>
      </c>
      <c r="B186" s="8" t="s">
        <v>3858</v>
      </c>
      <c r="C186" s="8" t="s">
        <v>3861</v>
      </c>
      <c r="D186" s="8" t="s">
        <v>3460</v>
      </c>
      <c r="E186" s="8" t="s">
        <v>3457</v>
      </c>
      <c r="F186" s="8" t="s">
        <v>3862</v>
      </c>
      <c r="G186" s="8" t="str">
        <f>"6"</f>
        <v>6</v>
      </c>
      <c r="H186" s="8" t="str">
        <f>"37121"</f>
        <v>37121</v>
      </c>
      <c r="I186" s="8" t="s">
        <v>13</v>
      </c>
      <c r="J186" s="8" t="s">
        <v>925</v>
      </c>
      <c r="K186" s="8" t="s">
        <v>43</v>
      </c>
    </row>
    <row r="187" spans="1:11" x14ac:dyDescent="0.3">
      <c r="A187" s="8">
        <v>183</v>
      </c>
      <c r="B187" s="8" t="s">
        <v>3863</v>
      </c>
      <c r="C187" s="8" t="s">
        <v>3864</v>
      </c>
      <c r="D187" s="8" t="s">
        <v>3460</v>
      </c>
      <c r="E187" s="8" t="s">
        <v>3457</v>
      </c>
      <c r="F187" s="8" t="s">
        <v>3865</v>
      </c>
      <c r="G187" s="8" t="str">
        <f>"4"</f>
        <v>4</v>
      </c>
      <c r="H187" s="8" t="str">
        <f>"37121"</f>
        <v>37121</v>
      </c>
      <c r="I187" s="8" t="s">
        <v>13</v>
      </c>
      <c r="J187" s="8" t="s">
        <v>925</v>
      </c>
      <c r="K187" s="8" t="s">
        <v>14</v>
      </c>
    </row>
    <row r="188" spans="1:11" x14ac:dyDescent="0.3">
      <c r="A188" s="8">
        <v>184</v>
      </c>
      <c r="B188" s="8" t="s">
        <v>3866</v>
      </c>
      <c r="C188" s="8" t="s">
        <v>3867</v>
      </c>
      <c r="D188" s="8" t="s">
        <v>3460</v>
      </c>
      <c r="E188" s="8" t="s">
        <v>3457</v>
      </c>
      <c r="F188" s="8" t="s">
        <v>3868</v>
      </c>
      <c r="G188" s="8" t="str">
        <f>"17"</f>
        <v>17</v>
      </c>
      <c r="H188" s="8" t="str">
        <f>"37136"</f>
        <v>37136</v>
      </c>
      <c r="I188" s="8" t="s">
        <v>13</v>
      </c>
      <c r="J188" s="8" t="s">
        <v>925</v>
      </c>
      <c r="K188" s="8" t="s">
        <v>58</v>
      </c>
    </row>
    <row r="189" spans="1:11" x14ac:dyDescent="0.3">
      <c r="A189" s="6">
        <v>185</v>
      </c>
      <c r="B189" s="6" t="s">
        <v>3869</v>
      </c>
      <c r="C189" s="6" t="s">
        <v>3722</v>
      </c>
      <c r="D189" s="6" t="s">
        <v>3460</v>
      </c>
      <c r="E189" s="6" t="s">
        <v>3457</v>
      </c>
      <c r="F189" s="6" t="s">
        <v>3870</v>
      </c>
      <c r="G189" s="6" t="str">
        <f>"47"</f>
        <v>47</v>
      </c>
      <c r="H189" s="6" t="str">
        <f>"37138"</f>
        <v>37138</v>
      </c>
      <c r="I189" s="6" t="s">
        <v>13</v>
      </c>
      <c r="J189" s="6" t="s">
        <v>3462</v>
      </c>
      <c r="K189" s="6" t="s">
        <v>3871</v>
      </c>
    </row>
    <row r="190" spans="1:11" x14ac:dyDescent="0.3">
      <c r="A190" s="6">
        <v>186</v>
      </c>
      <c r="B190" s="6" t="s">
        <v>3872</v>
      </c>
      <c r="C190" s="6" t="s">
        <v>3873</v>
      </c>
      <c r="D190" s="6" t="s">
        <v>3460</v>
      </c>
      <c r="E190" s="6" t="s">
        <v>3457</v>
      </c>
      <c r="F190" s="6" t="s">
        <v>3773</v>
      </c>
      <c r="G190" s="6" t="str">
        <f>"63 H"</f>
        <v>63 H</v>
      </c>
      <c r="H190" s="6" t="str">
        <f>"37137"</f>
        <v>37137</v>
      </c>
      <c r="I190" s="6" t="s">
        <v>13</v>
      </c>
      <c r="J190" s="6" t="s">
        <v>3462</v>
      </c>
      <c r="K190" s="6" t="s">
        <v>254</v>
      </c>
    </row>
    <row r="191" spans="1:11" x14ac:dyDescent="0.3">
      <c r="A191" s="6">
        <v>187</v>
      </c>
      <c r="B191" s="6" t="s">
        <v>3874</v>
      </c>
      <c r="C191" s="6" t="s">
        <v>3875</v>
      </c>
      <c r="D191" s="6" t="s">
        <v>3460</v>
      </c>
      <c r="E191" s="6" t="s">
        <v>3457</v>
      </c>
      <c r="F191" s="6" t="s">
        <v>3876</v>
      </c>
      <c r="G191" s="6" t="str">
        <f>"1/A"</f>
        <v>1/A</v>
      </c>
      <c r="H191" s="6" t="str">
        <f>"37135"</f>
        <v>37135</v>
      </c>
      <c r="I191" s="6" t="s">
        <v>13</v>
      </c>
      <c r="J191" s="6" t="s">
        <v>3462</v>
      </c>
      <c r="K191" s="6" t="s">
        <v>14</v>
      </c>
    </row>
    <row r="192" spans="1:11" x14ac:dyDescent="0.3">
      <c r="A192" s="8">
        <v>188</v>
      </c>
      <c r="B192" s="8" t="s">
        <v>3877</v>
      </c>
      <c r="C192" s="8" t="s">
        <v>3878</v>
      </c>
      <c r="D192" s="8" t="s">
        <v>3460</v>
      </c>
      <c r="E192" s="8" t="s">
        <v>3457</v>
      </c>
      <c r="F192" s="8" t="s">
        <v>3879</v>
      </c>
      <c r="G192" s="8" t="str">
        <f>"41"</f>
        <v>41</v>
      </c>
      <c r="H192" s="8" t="str">
        <f>"37135"</f>
        <v>37135</v>
      </c>
      <c r="I192" s="8" t="s">
        <v>13</v>
      </c>
      <c r="J192" s="8" t="s">
        <v>925</v>
      </c>
      <c r="K192" s="8" t="s">
        <v>20</v>
      </c>
    </row>
    <row r="193" spans="1:11" x14ac:dyDescent="0.3">
      <c r="A193" s="6">
        <v>189</v>
      </c>
      <c r="B193" s="6" t="s">
        <v>3880</v>
      </c>
      <c r="C193" s="6" t="s">
        <v>3881</v>
      </c>
      <c r="D193" s="6" t="s">
        <v>3460</v>
      </c>
      <c r="E193" s="6" t="s">
        <v>3457</v>
      </c>
      <c r="F193" s="6" t="s">
        <v>3652</v>
      </c>
      <c r="G193" s="6" t="str">
        <f>"8/A"</f>
        <v>8/A</v>
      </c>
      <c r="H193" s="6" t="str">
        <f>"37135"</f>
        <v>37135</v>
      </c>
      <c r="I193" s="6" t="s">
        <v>13</v>
      </c>
      <c r="J193" s="6" t="s">
        <v>3462</v>
      </c>
      <c r="K193" s="6" t="s">
        <v>43</v>
      </c>
    </row>
    <row r="194" spans="1:11" x14ac:dyDescent="0.3">
      <c r="A194" s="6">
        <v>190</v>
      </c>
      <c r="B194" s="6" t="s">
        <v>3480</v>
      </c>
      <c r="C194" s="6" t="s">
        <v>3481</v>
      </c>
      <c r="D194" s="6" t="s">
        <v>3460</v>
      </c>
      <c r="E194" s="6" t="s">
        <v>3882</v>
      </c>
      <c r="F194" s="6" t="s">
        <v>3883</v>
      </c>
      <c r="G194" s="6" t="str">
        <f>"3"</f>
        <v>3</v>
      </c>
      <c r="H194" s="6" t="str">
        <f>"37068"</f>
        <v>37068</v>
      </c>
      <c r="I194" s="6" t="s">
        <v>13</v>
      </c>
      <c r="J194" s="6" t="s">
        <v>927</v>
      </c>
      <c r="K194" s="6" t="s">
        <v>20</v>
      </c>
    </row>
    <row r="195" spans="1:11" x14ac:dyDescent="0.3">
      <c r="A195" s="6">
        <v>191</v>
      </c>
      <c r="B195" s="6" t="s">
        <v>3884</v>
      </c>
      <c r="C195" s="6" t="s">
        <v>3885</v>
      </c>
      <c r="D195" s="6" t="s">
        <v>3460</v>
      </c>
      <c r="E195" s="6" t="s">
        <v>3886</v>
      </c>
      <c r="F195" s="6" t="s">
        <v>1849</v>
      </c>
      <c r="G195" s="6" t="str">
        <f>"65"</f>
        <v>65</v>
      </c>
      <c r="H195" s="6" t="str">
        <f>"37069"</f>
        <v>37069</v>
      </c>
      <c r="I195" s="6" t="s">
        <v>13</v>
      </c>
      <c r="J195" s="6" t="s">
        <v>3462</v>
      </c>
      <c r="K195" s="6" t="s">
        <v>14</v>
      </c>
    </row>
    <row r="196" spans="1:11" x14ac:dyDescent="0.3">
      <c r="A196" s="6">
        <v>192</v>
      </c>
      <c r="B196" s="6" t="s">
        <v>3887</v>
      </c>
      <c r="C196" s="6" t="s">
        <v>3888</v>
      </c>
      <c r="D196" s="6" t="s">
        <v>3460</v>
      </c>
      <c r="E196" s="6" t="s">
        <v>3886</v>
      </c>
      <c r="F196" s="6" t="s">
        <v>703</v>
      </c>
      <c r="G196" s="6" t="str">
        <f>"1/P"</f>
        <v>1/P</v>
      </c>
      <c r="H196" s="6" t="str">
        <f>"37069"</f>
        <v>37069</v>
      </c>
      <c r="I196" s="6" t="s">
        <v>13</v>
      </c>
      <c r="J196" s="6" t="s">
        <v>3462</v>
      </c>
      <c r="K196" s="6" t="s">
        <v>43</v>
      </c>
    </row>
    <row r="197" spans="1:11" x14ac:dyDescent="0.3">
      <c r="A197" s="8">
        <v>193</v>
      </c>
      <c r="B197" s="8" t="s">
        <v>3889</v>
      </c>
      <c r="C197" s="8" t="s">
        <v>3890</v>
      </c>
      <c r="D197" s="8" t="s">
        <v>3460</v>
      </c>
      <c r="E197" s="8" t="s">
        <v>3886</v>
      </c>
      <c r="F197" s="8" t="s">
        <v>104</v>
      </c>
      <c r="G197" s="8" t="str">
        <f>"27/B"</f>
        <v>27/B</v>
      </c>
      <c r="H197" s="8" t="str">
        <f>"37069"</f>
        <v>37069</v>
      </c>
      <c r="I197" s="8" t="s">
        <v>13</v>
      </c>
      <c r="J197" s="8" t="s">
        <v>925</v>
      </c>
      <c r="K197" s="8" t="s">
        <v>20</v>
      </c>
    </row>
    <row r="198" spans="1:11" x14ac:dyDescent="0.3">
      <c r="A198" s="6">
        <v>194</v>
      </c>
      <c r="B198" s="6" t="s">
        <v>1010</v>
      </c>
      <c r="C198" s="6" t="s">
        <v>110</v>
      </c>
      <c r="D198" s="6" t="s">
        <v>3460</v>
      </c>
      <c r="E198" s="6" t="s">
        <v>3886</v>
      </c>
      <c r="F198" s="6" t="s">
        <v>3891</v>
      </c>
      <c r="G198" s="6" t="str">
        <f>"26"</f>
        <v>26</v>
      </c>
      <c r="H198" s="6" t="str">
        <f>"37069"</f>
        <v>37069</v>
      </c>
      <c r="I198" s="6" t="s">
        <v>13</v>
      </c>
      <c r="J198" s="6" t="s">
        <v>927</v>
      </c>
      <c r="K198" s="6" t="s">
        <v>14</v>
      </c>
    </row>
    <row r="199" spans="1:11" x14ac:dyDescent="0.3">
      <c r="A199" s="6">
        <v>195</v>
      </c>
      <c r="B199" s="6" t="s">
        <v>3892</v>
      </c>
      <c r="C199" s="6" t="s">
        <v>3481</v>
      </c>
      <c r="D199" s="6" t="s">
        <v>3460</v>
      </c>
      <c r="E199" s="6" t="s">
        <v>3886</v>
      </c>
      <c r="F199" s="6" t="s">
        <v>470</v>
      </c>
      <c r="G199" s="6" t="str">
        <f>"242"</f>
        <v>242</v>
      </c>
      <c r="H199" s="6" t="str">
        <f>"37069"</f>
        <v>37069</v>
      </c>
      <c r="I199" s="6" t="s">
        <v>13</v>
      </c>
      <c r="J199" s="6" t="s">
        <v>927</v>
      </c>
      <c r="K199" s="6" t="s">
        <v>20</v>
      </c>
    </row>
    <row r="200" spans="1:11" x14ac:dyDescent="0.3">
      <c r="A200" s="6">
        <v>196</v>
      </c>
      <c r="B200" s="6" t="s">
        <v>3791</v>
      </c>
      <c r="C200" s="6" t="s">
        <v>3792</v>
      </c>
      <c r="D200" s="6" t="s">
        <v>3460</v>
      </c>
      <c r="E200" s="6" t="s">
        <v>3886</v>
      </c>
      <c r="F200" s="6" t="s">
        <v>3893</v>
      </c>
      <c r="G200" s="6" t="str">
        <f>"32"</f>
        <v>32</v>
      </c>
      <c r="H200" s="6" t="str">
        <f>"37062"</f>
        <v>37062</v>
      </c>
      <c r="I200" s="6" t="s">
        <v>13</v>
      </c>
      <c r="J200" s="6" t="s">
        <v>927</v>
      </c>
      <c r="K200" s="6" t="s">
        <v>14</v>
      </c>
    </row>
    <row r="201" spans="1:11" x14ac:dyDescent="0.3">
      <c r="A201" s="8">
        <v>197</v>
      </c>
      <c r="B201" s="8" t="s">
        <v>3894</v>
      </c>
      <c r="C201" s="8" t="s">
        <v>3895</v>
      </c>
      <c r="D201" s="8" t="s">
        <v>3460</v>
      </c>
      <c r="E201" s="8" t="s">
        <v>3886</v>
      </c>
      <c r="F201" s="8" t="s">
        <v>128</v>
      </c>
      <c r="G201" s="8" t="str">
        <f>"13"</f>
        <v>13</v>
      </c>
      <c r="H201" s="8" t="str">
        <f>"37062"</f>
        <v>37062</v>
      </c>
      <c r="I201" s="8" t="s">
        <v>13</v>
      </c>
      <c r="J201" s="8" t="s">
        <v>925</v>
      </c>
      <c r="K201" s="8" t="s">
        <v>14</v>
      </c>
    </row>
    <row r="202" spans="1:11" x14ac:dyDescent="0.3">
      <c r="A202" s="6">
        <v>198</v>
      </c>
      <c r="B202" s="6" t="s">
        <v>3480</v>
      </c>
      <c r="C202" s="6" t="s">
        <v>3481</v>
      </c>
      <c r="D202" s="6" t="s">
        <v>3460</v>
      </c>
      <c r="E202" s="6" t="s">
        <v>3886</v>
      </c>
      <c r="F202" s="6" t="s">
        <v>891</v>
      </c>
      <c r="G202" s="6" t="str">
        <f>"1"</f>
        <v>1</v>
      </c>
      <c r="H202" s="6" t="str">
        <f>"37069"</f>
        <v>37069</v>
      </c>
      <c r="I202" s="6" t="s">
        <v>13</v>
      </c>
      <c r="J202" s="6" t="s">
        <v>927</v>
      </c>
      <c r="K202" s="6" t="s">
        <v>20</v>
      </c>
    </row>
    <row r="203" spans="1:11" x14ac:dyDescent="0.3">
      <c r="A203" s="6">
        <v>199</v>
      </c>
      <c r="B203" s="6" t="s">
        <v>3480</v>
      </c>
      <c r="C203" s="6" t="s">
        <v>3481</v>
      </c>
      <c r="D203" s="6" t="s">
        <v>3460</v>
      </c>
      <c r="E203" s="6" t="s">
        <v>3886</v>
      </c>
      <c r="F203" s="6" t="s">
        <v>3896</v>
      </c>
      <c r="G203" s="6" t="str">
        <f>"140"</f>
        <v>140</v>
      </c>
      <c r="H203" s="6" t="str">
        <f>"37069"</f>
        <v>37069</v>
      </c>
      <c r="I203" s="6" t="s">
        <v>13</v>
      </c>
      <c r="J203" s="6" t="s">
        <v>927</v>
      </c>
      <c r="K203" s="6" t="s">
        <v>224</v>
      </c>
    </row>
    <row r="204" spans="1:11" x14ac:dyDescent="0.3">
      <c r="A204" s="6">
        <v>200</v>
      </c>
      <c r="B204" s="6" t="s">
        <v>3480</v>
      </c>
      <c r="C204" s="6" t="s">
        <v>3481</v>
      </c>
      <c r="D204" s="6" t="s">
        <v>3460</v>
      </c>
      <c r="E204" s="6" t="s">
        <v>3886</v>
      </c>
      <c r="F204" s="6" t="s">
        <v>3897</v>
      </c>
      <c r="G204" s="6" t="str">
        <f>"1"</f>
        <v>1</v>
      </c>
      <c r="H204" s="6" t="str">
        <f>"37069"</f>
        <v>37069</v>
      </c>
      <c r="I204" s="6" t="s">
        <v>13</v>
      </c>
      <c r="J204" s="6" t="s">
        <v>927</v>
      </c>
      <c r="K204" s="6" t="s">
        <v>20</v>
      </c>
    </row>
    <row r="205" spans="1:11" x14ac:dyDescent="0.3">
      <c r="A205" s="19">
        <v>201</v>
      </c>
      <c r="B205" s="19" t="s">
        <v>3898</v>
      </c>
      <c r="C205" s="19" t="s">
        <v>3899</v>
      </c>
      <c r="D205" s="19" t="s">
        <v>3460</v>
      </c>
      <c r="E205" s="19" t="s">
        <v>3886</v>
      </c>
      <c r="F205" s="19" t="s">
        <v>1666</v>
      </c>
      <c r="G205" s="19" t="str">
        <f>"52"</f>
        <v>52</v>
      </c>
      <c r="H205" s="19" t="str">
        <f>"37069"</f>
        <v>37069</v>
      </c>
      <c r="I205" s="19" t="s">
        <v>13</v>
      </c>
      <c r="J205" s="19" t="s">
        <v>928</v>
      </c>
      <c r="K205" s="19" t="s">
        <v>62</v>
      </c>
    </row>
    <row r="206" spans="1:11" x14ac:dyDescent="0.3">
      <c r="A206" s="8">
        <v>202</v>
      </c>
      <c r="B206" s="8" t="s">
        <v>3900</v>
      </c>
      <c r="C206" s="8" t="s">
        <v>3901</v>
      </c>
      <c r="D206" s="8" t="s">
        <v>3460</v>
      </c>
      <c r="E206" s="8" t="s">
        <v>3902</v>
      </c>
      <c r="F206" s="8" t="s">
        <v>3903</v>
      </c>
      <c r="G206" s="8" t="str">
        <f>"36"</f>
        <v>36</v>
      </c>
      <c r="H206" s="8" t="str">
        <f>"37059"</f>
        <v>37059</v>
      </c>
      <c r="I206" s="8" t="s">
        <v>13</v>
      </c>
      <c r="J206" s="8" t="s">
        <v>925</v>
      </c>
      <c r="K206" s="8" t="s">
        <v>1701</v>
      </c>
    </row>
    <row r="207" spans="1:11" x14ac:dyDescent="0.3">
      <c r="A207" s="8">
        <v>203</v>
      </c>
      <c r="B207" s="8" t="s">
        <v>3904</v>
      </c>
      <c r="C207" s="8" t="s">
        <v>3905</v>
      </c>
      <c r="D207" s="8" t="s">
        <v>3460</v>
      </c>
      <c r="E207" s="8" t="s">
        <v>3902</v>
      </c>
      <c r="F207" s="8" t="s">
        <v>882</v>
      </c>
      <c r="G207" s="8" t="str">
        <f>"25"</f>
        <v>25</v>
      </c>
      <c r="H207" s="8" t="str">
        <f>"37059"</f>
        <v>37059</v>
      </c>
      <c r="I207" s="8" t="s">
        <v>13</v>
      </c>
      <c r="J207" s="8" t="s">
        <v>925</v>
      </c>
      <c r="K207" s="8" t="s">
        <v>165</v>
      </c>
    </row>
    <row r="208" spans="1:11" x14ac:dyDescent="0.3">
      <c r="A208" s="6">
        <v>204</v>
      </c>
      <c r="B208" s="6" t="s">
        <v>1584</v>
      </c>
      <c r="C208" s="6" t="s">
        <v>815</v>
      </c>
      <c r="D208" s="6" t="s">
        <v>3460</v>
      </c>
      <c r="E208" s="6" t="s">
        <v>3902</v>
      </c>
      <c r="F208" s="6" t="s">
        <v>3906</v>
      </c>
      <c r="G208" s="6" t="str">
        <f>"6"</f>
        <v>6</v>
      </c>
      <c r="H208" s="6" t="str">
        <f>"37059"</f>
        <v>37059</v>
      </c>
      <c r="I208" s="6" t="s">
        <v>13</v>
      </c>
      <c r="J208" s="6" t="s">
        <v>927</v>
      </c>
      <c r="K208" s="6" t="s">
        <v>14</v>
      </c>
    </row>
    <row r="209" spans="1:11" x14ac:dyDescent="0.3">
      <c r="A209" s="6">
        <v>205</v>
      </c>
      <c r="B209" s="6" t="s">
        <v>1836</v>
      </c>
      <c r="C209" s="6" t="s">
        <v>119</v>
      </c>
      <c r="D209" s="6" t="s">
        <v>3460</v>
      </c>
      <c r="E209" s="6" t="s">
        <v>3902</v>
      </c>
      <c r="F209" s="6" t="s">
        <v>366</v>
      </c>
      <c r="G209" s="6" t="str">
        <f>"58"</f>
        <v>58</v>
      </c>
      <c r="H209" s="6" t="str">
        <f>"37059"</f>
        <v>37059</v>
      </c>
      <c r="I209" s="6" t="s">
        <v>13</v>
      </c>
      <c r="J209" s="6" t="s">
        <v>927</v>
      </c>
      <c r="K209" s="6" t="s">
        <v>14</v>
      </c>
    </row>
    <row r="210" spans="1:11" x14ac:dyDescent="0.3">
      <c r="A210" s="8">
        <v>206</v>
      </c>
      <c r="B210" s="8" t="s">
        <v>3907</v>
      </c>
      <c r="C210" s="8" t="s">
        <v>3908</v>
      </c>
      <c r="D210" s="8" t="s">
        <v>3460</v>
      </c>
      <c r="E210" s="8" t="s">
        <v>3902</v>
      </c>
      <c r="F210" s="8" t="s">
        <v>3909</v>
      </c>
      <c r="G210" s="8" t="str">
        <f>"6"</f>
        <v>6</v>
      </c>
      <c r="H210" s="8" t="str">
        <f>"37059"</f>
        <v>37059</v>
      </c>
      <c r="I210" s="8" t="s">
        <v>13</v>
      </c>
      <c r="J210" s="8" t="s">
        <v>925</v>
      </c>
      <c r="K210" s="8" t="s">
        <v>125</v>
      </c>
    </row>
  </sheetData>
  <autoFilter ref="A4:K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K395"/>
  <sheetViews>
    <sheetView workbookViewId="0">
      <selection activeCell="A4" sqref="A4:K4"/>
    </sheetView>
  </sheetViews>
  <sheetFormatPr defaultRowHeight="14.4" x14ac:dyDescent="0.3"/>
  <cols>
    <col min="1" max="1" width="4" bestFit="1" customWidth="1"/>
    <col min="2" max="2" width="33.88671875" bestFit="1" customWidth="1"/>
    <col min="3" max="3" width="31.33203125" bestFit="1" customWidth="1"/>
    <col min="4" max="4" width="13.88671875" bestFit="1" customWidth="1"/>
    <col min="5" max="5" width="25.77734375" bestFit="1" customWidth="1"/>
    <col min="6" max="6" width="34.5546875" bestFit="1" customWidth="1"/>
    <col min="7" max="7" width="7" bestFit="1" customWidth="1"/>
    <col min="8" max="8" width="6" bestFit="1" customWidth="1"/>
    <col min="9" max="9" width="8.33203125" bestFit="1" customWidth="1"/>
    <col min="10" max="10" width="42.5546875" bestFit="1" customWidth="1"/>
    <col min="11" max="11" width="53.44140625" bestFit="1" customWidth="1"/>
  </cols>
  <sheetData>
    <row r="2" spans="1:11" ht="18.75" x14ac:dyDescent="0.3">
      <c r="F2" s="1" t="s">
        <v>2524</v>
      </c>
    </row>
    <row r="4" spans="1:11" ht="15" x14ac:dyDescent="0.25">
      <c r="A4" s="22" t="s">
        <v>929</v>
      </c>
      <c r="B4" s="22" t="s">
        <v>0</v>
      </c>
      <c r="C4" s="22" t="s">
        <v>1</v>
      </c>
      <c r="D4" s="22" t="s">
        <v>2</v>
      </c>
      <c r="E4" s="22" t="s">
        <v>3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2525</v>
      </c>
      <c r="K4" s="22" t="s">
        <v>8</v>
      </c>
    </row>
    <row r="5" spans="1:11" ht="15" x14ac:dyDescent="0.25">
      <c r="A5" s="3">
        <v>1</v>
      </c>
      <c r="B5" s="3" t="s">
        <v>2526</v>
      </c>
      <c r="C5" s="3" t="s">
        <v>2527</v>
      </c>
      <c r="D5" s="3" t="s">
        <v>2528</v>
      </c>
      <c r="E5" s="3" t="s">
        <v>2529</v>
      </c>
      <c r="F5" s="3" t="s">
        <v>2530</v>
      </c>
      <c r="G5" s="3" t="str">
        <f>"6/1"</f>
        <v>6/1</v>
      </c>
      <c r="H5" s="3" t="str">
        <f>"31030"</f>
        <v>31030</v>
      </c>
      <c r="I5" s="3" t="s">
        <v>13</v>
      </c>
      <c r="J5" s="3" t="s">
        <v>925</v>
      </c>
      <c r="K5" s="3" t="s">
        <v>14</v>
      </c>
    </row>
    <row r="6" spans="1:11" ht="15" x14ac:dyDescent="0.25">
      <c r="A6" s="15">
        <v>2</v>
      </c>
      <c r="B6" s="15" t="s">
        <v>1502</v>
      </c>
      <c r="C6" s="15" t="s">
        <v>709</v>
      </c>
      <c r="D6" s="15" t="s">
        <v>2528</v>
      </c>
      <c r="E6" s="15" t="s">
        <v>2529</v>
      </c>
      <c r="F6" s="15" t="s">
        <v>2531</v>
      </c>
      <c r="G6" s="15" t="str">
        <f>"1"</f>
        <v>1</v>
      </c>
      <c r="H6" s="15" t="str">
        <f>"31030"</f>
        <v>31030</v>
      </c>
      <c r="I6" s="15" t="s">
        <v>13</v>
      </c>
      <c r="J6" s="15" t="s">
        <v>927</v>
      </c>
      <c r="K6" s="15" t="s">
        <v>30</v>
      </c>
    </row>
    <row r="7" spans="1:11" ht="15" x14ac:dyDescent="0.25">
      <c r="A7" s="16">
        <v>3</v>
      </c>
      <c r="B7" s="16" t="s">
        <v>2532</v>
      </c>
      <c r="C7" s="16" t="s">
        <v>2533</v>
      </c>
      <c r="D7" s="16" t="s">
        <v>2528</v>
      </c>
      <c r="E7" s="16" t="s">
        <v>2534</v>
      </c>
      <c r="F7" s="16" t="s">
        <v>51</v>
      </c>
      <c r="G7" s="16" t="str">
        <f>"5"</f>
        <v>5</v>
      </c>
      <c r="H7" s="16" t="str">
        <f>"31030"</f>
        <v>31030</v>
      </c>
      <c r="I7" s="16" t="s">
        <v>13</v>
      </c>
      <c r="J7" s="16" t="s">
        <v>928</v>
      </c>
      <c r="K7" s="16" t="s">
        <v>14</v>
      </c>
    </row>
    <row r="8" spans="1:11" ht="15" x14ac:dyDescent="0.25">
      <c r="A8" s="4">
        <v>4</v>
      </c>
      <c r="B8" s="4" t="s">
        <v>2535</v>
      </c>
      <c r="C8" s="4" t="s">
        <v>2536</v>
      </c>
      <c r="D8" s="4" t="s">
        <v>2528</v>
      </c>
      <c r="E8" s="4" t="s">
        <v>2537</v>
      </c>
      <c r="F8" s="4" t="s">
        <v>48</v>
      </c>
      <c r="G8" s="4" t="str">
        <f>"72"</f>
        <v>72</v>
      </c>
      <c r="H8" s="4" t="str">
        <f>"31011"</f>
        <v>31011</v>
      </c>
      <c r="I8" s="4" t="s">
        <v>13</v>
      </c>
      <c r="J8" s="4" t="s">
        <v>926</v>
      </c>
      <c r="K8" s="4" t="s">
        <v>14</v>
      </c>
    </row>
    <row r="9" spans="1:11" ht="15" x14ac:dyDescent="0.25">
      <c r="A9" s="3">
        <v>5</v>
      </c>
      <c r="B9" s="3" t="s">
        <v>2538</v>
      </c>
      <c r="C9" s="3" t="s">
        <v>2539</v>
      </c>
      <c r="D9" s="3" t="s">
        <v>2528</v>
      </c>
      <c r="E9" s="3" t="s">
        <v>2537</v>
      </c>
      <c r="F9" s="3" t="s">
        <v>552</v>
      </c>
      <c r="G9" s="3" t="str">
        <f>"2/C"</f>
        <v>2/C</v>
      </c>
      <c r="H9" s="3" t="str">
        <f>"31011"</f>
        <v>31011</v>
      </c>
      <c r="I9" s="3" t="s">
        <v>13</v>
      </c>
      <c r="J9" s="3" t="s">
        <v>925</v>
      </c>
      <c r="K9" s="3" t="s">
        <v>125</v>
      </c>
    </row>
    <row r="10" spans="1:11" ht="15" x14ac:dyDescent="0.25">
      <c r="A10" s="15">
        <v>6</v>
      </c>
      <c r="B10" s="15" t="s">
        <v>2540</v>
      </c>
      <c r="C10" s="15" t="s">
        <v>2541</v>
      </c>
      <c r="D10" s="15" t="s">
        <v>2528</v>
      </c>
      <c r="E10" s="15" t="s">
        <v>2537</v>
      </c>
      <c r="F10" s="15" t="s">
        <v>2542</v>
      </c>
      <c r="G10" s="15" t="str">
        <f>"11/A"</f>
        <v>11/A</v>
      </c>
      <c r="H10" s="15" t="str">
        <f>"31011"</f>
        <v>31011</v>
      </c>
      <c r="I10" s="15" t="s">
        <v>13</v>
      </c>
      <c r="J10" s="15" t="s">
        <v>927</v>
      </c>
      <c r="K10" s="15" t="s">
        <v>224</v>
      </c>
    </row>
    <row r="11" spans="1:11" ht="15" x14ac:dyDescent="0.25">
      <c r="A11" s="3">
        <v>7</v>
      </c>
      <c r="B11" s="3" t="s">
        <v>2543</v>
      </c>
      <c r="C11" s="3" t="s">
        <v>2544</v>
      </c>
      <c r="D11" s="3" t="s">
        <v>2528</v>
      </c>
      <c r="E11" s="3" t="s">
        <v>2545</v>
      </c>
      <c r="F11" s="3" t="s">
        <v>2546</v>
      </c>
      <c r="G11" s="3" t="str">
        <f>"2"</f>
        <v>2</v>
      </c>
      <c r="H11" s="3" t="str">
        <f>"31030"</f>
        <v>31030</v>
      </c>
      <c r="I11" s="3" t="s">
        <v>13</v>
      </c>
      <c r="J11" s="3" t="s">
        <v>925</v>
      </c>
      <c r="K11" s="3" t="s">
        <v>1891</v>
      </c>
    </row>
    <row r="12" spans="1:11" ht="15" x14ac:dyDescent="0.25">
      <c r="A12" s="3">
        <v>8</v>
      </c>
      <c r="B12" s="3" t="s">
        <v>2547</v>
      </c>
      <c r="C12" s="3" t="s">
        <v>752</v>
      </c>
      <c r="D12" s="3" t="s">
        <v>2528</v>
      </c>
      <c r="E12" s="3" t="s">
        <v>2548</v>
      </c>
      <c r="F12" s="3" t="s">
        <v>875</v>
      </c>
      <c r="G12" s="3" t="str">
        <f>"50"</f>
        <v>50</v>
      </c>
      <c r="H12" s="3" t="str">
        <f>"31031"</f>
        <v>31031</v>
      </c>
      <c r="I12" s="3" t="s">
        <v>13</v>
      </c>
      <c r="J12" s="3" t="s">
        <v>925</v>
      </c>
      <c r="K12" s="3" t="s">
        <v>58</v>
      </c>
    </row>
    <row r="13" spans="1:11" ht="15" x14ac:dyDescent="0.25">
      <c r="A13" s="4">
        <v>9</v>
      </c>
      <c r="B13" s="4" t="s">
        <v>2549</v>
      </c>
      <c r="C13" s="4" t="s">
        <v>2550</v>
      </c>
      <c r="D13" s="4" t="s">
        <v>2528</v>
      </c>
      <c r="E13" s="4" t="s">
        <v>2551</v>
      </c>
      <c r="F13" s="4" t="s">
        <v>2552</v>
      </c>
      <c r="G13" s="4" t="str">
        <f>"33/35"</f>
        <v>33/35</v>
      </c>
      <c r="H13" s="4" t="str">
        <f>"31030"</f>
        <v>31030</v>
      </c>
      <c r="I13" s="4" t="s">
        <v>13</v>
      </c>
      <c r="J13" s="4" t="s">
        <v>926</v>
      </c>
      <c r="K13" s="4" t="s">
        <v>20</v>
      </c>
    </row>
    <row r="14" spans="1:11" ht="15" x14ac:dyDescent="0.25">
      <c r="A14" s="3">
        <v>10</v>
      </c>
      <c r="B14" s="3" t="s">
        <v>2553</v>
      </c>
      <c r="C14" s="3" t="s">
        <v>2554</v>
      </c>
      <c r="D14" s="3" t="s">
        <v>2528</v>
      </c>
      <c r="E14" s="3" t="s">
        <v>2551</v>
      </c>
      <c r="F14" s="3" t="s">
        <v>2555</v>
      </c>
      <c r="G14" s="3" t="str">
        <f>"2"</f>
        <v>2</v>
      </c>
      <c r="H14" s="3" t="str">
        <f>"31030"</f>
        <v>31030</v>
      </c>
      <c r="I14" s="3" t="s">
        <v>13</v>
      </c>
      <c r="J14" s="3" t="s">
        <v>925</v>
      </c>
      <c r="K14" s="3" t="s">
        <v>14</v>
      </c>
    </row>
    <row r="15" spans="1:11" ht="15" x14ac:dyDescent="0.25">
      <c r="A15" s="3">
        <v>11</v>
      </c>
      <c r="B15" s="3" t="s">
        <v>2556</v>
      </c>
      <c r="C15" s="3" t="s">
        <v>2557</v>
      </c>
      <c r="D15" s="3" t="s">
        <v>2528</v>
      </c>
      <c r="E15" s="3" t="s">
        <v>2551</v>
      </c>
      <c r="F15" s="3" t="s">
        <v>2558</v>
      </c>
      <c r="G15" s="3" t="str">
        <f>"85"</f>
        <v>85</v>
      </c>
      <c r="H15" s="3" t="str">
        <f>"31030"</f>
        <v>31030</v>
      </c>
      <c r="I15" s="3" t="s">
        <v>13</v>
      </c>
      <c r="J15" s="3" t="s">
        <v>925</v>
      </c>
      <c r="K15" s="3" t="s">
        <v>235</v>
      </c>
    </row>
    <row r="16" spans="1:11" ht="15" x14ac:dyDescent="0.25">
      <c r="A16" s="3">
        <v>12</v>
      </c>
      <c r="B16" s="3" t="s">
        <v>2559</v>
      </c>
      <c r="C16" s="3" t="s">
        <v>2560</v>
      </c>
      <c r="D16" s="3" t="s">
        <v>2528</v>
      </c>
      <c r="E16" s="3" t="s">
        <v>2561</v>
      </c>
      <c r="F16" s="3" t="s">
        <v>1659</v>
      </c>
      <c r="G16" s="3" t="str">
        <f>"56/58"</f>
        <v>56/58</v>
      </c>
      <c r="H16" s="3" t="str">
        <f>"31032"</f>
        <v>31032</v>
      </c>
      <c r="I16" s="3" t="s">
        <v>13</v>
      </c>
      <c r="J16" s="3" t="s">
        <v>925</v>
      </c>
      <c r="K16" s="3" t="s">
        <v>30</v>
      </c>
    </row>
    <row r="17" spans="1:11" ht="15" x14ac:dyDescent="0.25">
      <c r="A17" s="3">
        <v>13</v>
      </c>
      <c r="B17" s="3" t="s">
        <v>2562</v>
      </c>
      <c r="C17" s="3" t="s">
        <v>2563</v>
      </c>
      <c r="D17" s="3" t="s">
        <v>2528</v>
      </c>
      <c r="E17" s="3" t="s">
        <v>2561</v>
      </c>
      <c r="F17" s="3" t="s">
        <v>1659</v>
      </c>
      <c r="G17" s="3" t="str">
        <f>"22"</f>
        <v>22</v>
      </c>
      <c r="H17" s="3" t="str">
        <f>"31032"</f>
        <v>31032</v>
      </c>
      <c r="I17" s="3" t="s">
        <v>13</v>
      </c>
      <c r="J17" s="3" t="s">
        <v>925</v>
      </c>
      <c r="K17" s="3" t="s">
        <v>224</v>
      </c>
    </row>
    <row r="18" spans="1:11" ht="15" x14ac:dyDescent="0.25">
      <c r="A18" s="3">
        <v>14</v>
      </c>
      <c r="B18" s="3" t="s">
        <v>2564</v>
      </c>
      <c r="C18" s="3" t="s">
        <v>2565</v>
      </c>
      <c r="D18" s="3" t="s">
        <v>2528</v>
      </c>
      <c r="E18" s="3" t="s">
        <v>2561</v>
      </c>
      <c r="F18" s="3" t="s">
        <v>35</v>
      </c>
      <c r="G18" s="3" t="str">
        <f>"1"</f>
        <v>1</v>
      </c>
      <c r="H18" s="3" t="str">
        <f>"31032"</f>
        <v>31032</v>
      </c>
      <c r="I18" s="3" t="s">
        <v>13</v>
      </c>
      <c r="J18" s="3" t="s">
        <v>925</v>
      </c>
      <c r="K18" s="3" t="s">
        <v>66</v>
      </c>
    </row>
    <row r="19" spans="1:11" ht="15" x14ac:dyDescent="0.25">
      <c r="A19" s="4">
        <v>15</v>
      </c>
      <c r="B19" s="4" t="s">
        <v>2566</v>
      </c>
      <c r="C19" s="4" t="s">
        <v>2567</v>
      </c>
      <c r="D19" s="4" t="s">
        <v>2528</v>
      </c>
      <c r="E19" s="4" t="s">
        <v>2561</v>
      </c>
      <c r="F19" s="4" t="s">
        <v>1659</v>
      </c>
      <c r="G19" s="4" t="str">
        <f>"30"</f>
        <v>30</v>
      </c>
      <c r="H19" s="4" t="str">
        <f>"31032"</f>
        <v>31032</v>
      </c>
      <c r="I19" s="4" t="s">
        <v>13</v>
      </c>
      <c r="J19" s="4" t="s">
        <v>926</v>
      </c>
      <c r="K19" s="4" t="s">
        <v>14</v>
      </c>
    </row>
    <row r="20" spans="1:11" ht="15" x14ac:dyDescent="0.25">
      <c r="A20" s="3">
        <v>16</v>
      </c>
      <c r="B20" s="3" t="s">
        <v>2568</v>
      </c>
      <c r="C20" s="3" t="s">
        <v>2569</v>
      </c>
      <c r="D20" s="3" t="s">
        <v>2528</v>
      </c>
      <c r="E20" s="3" t="s">
        <v>2570</v>
      </c>
      <c r="F20" s="3" t="s">
        <v>882</v>
      </c>
      <c r="G20" s="3" t="str">
        <f>"7"</f>
        <v>7</v>
      </c>
      <c r="H20" s="3" t="str">
        <f t="shared" ref="H20:H25" si="0">"31030"</f>
        <v>31030</v>
      </c>
      <c r="I20" s="3" t="s">
        <v>13</v>
      </c>
      <c r="J20" s="3" t="s">
        <v>925</v>
      </c>
      <c r="K20" s="3" t="s">
        <v>98</v>
      </c>
    </row>
    <row r="21" spans="1:11" ht="15" x14ac:dyDescent="0.25">
      <c r="A21" s="4">
        <v>17</v>
      </c>
      <c r="B21" s="4" t="s">
        <v>2571</v>
      </c>
      <c r="C21" s="4" t="s">
        <v>2572</v>
      </c>
      <c r="D21" s="4" t="s">
        <v>2528</v>
      </c>
      <c r="E21" s="4" t="s">
        <v>2570</v>
      </c>
      <c r="F21" s="4" t="s">
        <v>2573</v>
      </c>
      <c r="G21" s="4" t="str">
        <f>"99"</f>
        <v>99</v>
      </c>
      <c r="H21" s="4" t="str">
        <f t="shared" si="0"/>
        <v>31030</v>
      </c>
      <c r="I21" s="4" t="s">
        <v>13</v>
      </c>
      <c r="J21" s="4" t="s">
        <v>926</v>
      </c>
      <c r="K21" s="4" t="s">
        <v>115</v>
      </c>
    </row>
    <row r="22" spans="1:11" ht="15" x14ac:dyDescent="0.25">
      <c r="A22" s="3">
        <v>18</v>
      </c>
      <c r="B22" s="3" t="s">
        <v>2574</v>
      </c>
      <c r="C22" s="3" t="s">
        <v>2575</v>
      </c>
      <c r="D22" s="3" t="s">
        <v>2528</v>
      </c>
      <c r="E22" s="3" t="s">
        <v>2570</v>
      </c>
      <c r="F22" s="3" t="s">
        <v>2573</v>
      </c>
      <c r="G22" s="3" t="str">
        <f>"89"</f>
        <v>89</v>
      </c>
      <c r="H22" s="3" t="str">
        <f t="shared" si="0"/>
        <v>31030</v>
      </c>
      <c r="I22" s="3" t="s">
        <v>13</v>
      </c>
      <c r="J22" s="3" t="s">
        <v>925</v>
      </c>
      <c r="K22" s="3" t="s">
        <v>58</v>
      </c>
    </row>
    <row r="23" spans="1:11" ht="15" x14ac:dyDescent="0.25">
      <c r="A23" s="3">
        <v>19</v>
      </c>
      <c r="B23" s="3" t="s">
        <v>2576</v>
      </c>
      <c r="C23" s="3" t="s">
        <v>2577</v>
      </c>
      <c r="D23" s="3" t="s">
        <v>2528</v>
      </c>
      <c r="E23" s="3" t="s">
        <v>2570</v>
      </c>
      <c r="F23" s="3" t="s">
        <v>2578</v>
      </c>
      <c r="G23" s="3" t="str">
        <f>"39"</f>
        <v>39</v>
      </c>
      <c r="H23" s="3" t="str">
        <f t="shared" si="0"/>
        <v>31030</v>
      </c>
      <c r="I23" s="3" t="s">
        <v>13</v>
      </c>
      <c r="J23" s="3" t="s">
        <v>925</v>
      </c>
      <c r="K23" s="3" t="s">
        <v>14</v>
      </c>
    </row>
    <row r="24" spans="1:11" ht="15" x14ac:dyDescent="0.25">
      <c r="A24" s="3">
        <v>20</v>
      </c>
      <c r="B24" s="3" t="s">
        <v>2579</v>
      </c>
      <c r="C24" s="3" t="s">
        <v>2580</v>
      </c>
      <c r="D24" s="3" t="s">
        <v>2528</v>
      </c>
      <c r="E24" s="3" t="s">
        <v>2570</v>
      </c>
      <c r="F24" s="3" t="s">
        <v>2581</v>
      </c>
      <c r="G24" s="3" t="str">
        <f>"52"</f>
        <v>52</v>
      </c>
      <c r="H24" s="3" t="str">
        <f t="shared" si="0"/>
        <v>31030</v>
      </c>
      <c r="I24" s="3" t="s">
        <v>13</v>
      </c>
      <c r="J24" s="3" t="s">
        <v>925</v>
      </c>
      <c r="K24" s="3" t="s">
        <v>98</v>
      </c>
    </row>
    <row r="25" spans="1:11" ht="15" x14ac:dyDescent="0.25">
      <c r="A25" s="15">
        <v>21</v>
      </c>
      <c r="B25" s="15" t="s">
        <v>2582</v>
      </c>
      <c r="C25" s="15" t="s">
        <v>759</v>
      </c>
      <c r="D25" s="15" t="s">
        <v>2528</v>
      </c>
      <c r="E25" s="15" t="s">
        <v>2570</v>
      </c>
      <c r="F25" s="15" t="s">
        <v>2583</v>
      </c>
      <c r="G25" s="15" t="str">
        <f>"68/A"</f>
        <v>68/A</v>
      </c>
      <c r="H25" s="15" t="str">
        <f t="shared" si="0"/>
        <v>31030</v>
      </c>
      <c r="I25" s="15" t="s">
        <v>13</v>
      </c>
      <c r="J25" s="15" t="s">
        <v>927</v>
      </c>
      <c r="K25" s="15" t="s">
        <v>195</v>
      </c>
    </row>
    <row r="26" spans="1:11" ht="15" x14ac:dyDescent="0.25">
      <c r="A26" s="3">
        <v>22</v>
      </c>
      <c r="B26" s="3" t="s">
        <v>2584</v>
      </c>
      <c r="C26" s="3" t="s">
        <v>2585</v>
      </c>
      <c r="D26" s="3" t="s">
        <v>2528</v>
      </c>
      <c r="E26" s="3" t="s">
        <v>2586</v>
      </c>
      <c r="F26" s="3" t="s">
        <v>141</v>
      </c>
      <c r="G26" s="3" t="str">
        <f>"78"</f>
        <v>78</v>
      </c>
      <c r="H26" s="3" t="str">
        <f t="shared" ref="H26:H45" si="1">"31033"</f>
        <v>31033</v>
      </c>
      <c r="I26" s="3" t="s">
        <v>13</v>
      </c>
      <c r="J26" s="3" t="s">
        <v>925</v>
      </c>
      <c r="K26" s="3" t="s">
        <v>235</v>
      </c>
    </row>
    <row r="27" spans="1:11" ht="15" x14ac:dyDescent="0.25">
      <c r="A27" s="4">
        <v>23</v>
      </c>
      <c r="B27" s="4" t="s">
        <v>2587</v>
      </c>
      <c r="C27" s="4" t="s">
        <v>521</v>
      </c>
      <c r="D27" s="4" t="s">
        <v>2528</v>
      </c>
      <c r="E27" s="4" t="s">
        <v>2586</v>
      </c>
      <c r="F27" s="4" t="s">
        <v>2588</v>
      </c>
      <c r="G27" s="4" t="str">
        <f>"SNC"</f>
        <v>SNC</v>
      </c>
      <c r="H27" s="4" t="str">
        <f t="shared" si="1"/>
        <v>31033</v>
      </c>
      <c r="I27" s="4" t="s">
        <v>13</v>
      </c>
      <c r="J27" s="4" t="s">
        <v>926</v>
      </c>
      <c r="K27" s="4" t="s">
        <v>2589</v>
      </c>
    </row>
    <row r="28" spans="1:11" ht="15" x14ac:dyDescent="0.25">
      <c r="A28" s="4">
        <v>24</v>
      </c>
      <c r="B28" s="4" t="s">
        <v>1149</v>
      </c>
      <c r="C28" s="4" t="s">
        <v>315</v>
      </c>
      <c r="D28" s="4" t="s">
        <v>2528</v>
      </c>
      <c r="E28" s="4" t="s">
        <v>2586</v>
      </c>
      <c r="F28" s="4" t="s">
        <v>2590</v>
      </c>
      <c r="G28" s="4" t="str">
        <f>"1/F"</f>
        <v>1/F</v>
      </c>
      <c r="H28" s="4" t="str">
        <f t="shared" si="1"/>
        <v>31033</v>
      </c>
      <c r="I28" s="4" t="s">
        <v>13</v>
      </c>
      <c r="J28" s="4" t="s">
        <v>926</v>
      </c>
      <c r="K28" s="4" t="s">
        <v>20</v>
      </c>
    </row>
    <row r="29" spans="1:11" ht="15" x14ac:dyDescent="0.25">
      <c r="A29" s="15">
        <v>25</v>
      </c>
      <c r="B29" s="15" t="s">
        <v>2591</v>
      </c>
      <c r="C29" s="15" t="s">
        <v>1712</v>
      </c>
      <c r="D29" s="15" t="s">
        <v>2528</v>
      </c>
      <c r="E29" s="15" t="s">
        <v>2586</v>
      </c>
      <c r="F29" s="15" t="s">
        <v>2592</v>
      </c>
      <c r="G29" s="15" t="str">
        <f>"30/A"</f>
        <v>30/A</v>
      </c>
      <c r="H29" s="15" t="str">
        <f t="shared" si="1"/>
        <v>31033</v>
      </c>
      <c r="I29" s="15" t="s">
        <v>13</v>
      </c>
      <c r="J29" s="15" t="s">
        <v>927</v>
      </c>
      <c r="K29" s="15" t="s">
        <v>195</v>
      </c>
    </row>
    <row r="30" spans="1:11" ht="15" x14ac:dyDescent="0.25">
      <c r="A30" s="3">
        <v>26</v>
      </c>
      <c r="B30" s="3" t="s">
        <v>2593</v>
      </c>
      <c r="C30" s="3" t="s">
        <v>2594</v>
      </c>
      <c r="D30" s="3" t="s">
        <v>2528</v>
      </c>
      <c r="E30" s="3" t="s">
        <v>2586</v>
      </c>
      <c r="F30" s="3" t="s">
        <v>2595</v>
      </c>
      <c r="G30" s="3" t="str">
        <f>"17"</f>
        <v>17</v>
      </c>
      <c r="H30" s="3" t="str">
        <f t="shared" si="1"/>
        <v>31033</v>
      </c>
      <c r="I30" s="3" t="s">
        <v>13</v>
      </c>
      <c r="J30" s="3" t="s">
        <v>925</v>
      </c>
      <c r="K30" s="3" t="s">
        <v>205</v>
      </c>
    </row>
    <row r="31" spans="1:11" ht="15" x14ac:dyDescent="0.25">
      <c r="A31" s="15">
        <v>27</v>
      </c>
      <c r="B31" s="15" t="s">
        <v>2596</v>
      </c>
      <c r="C31" s="15" t="s">
        <v>1763</v>
      </c>
      <c r="D31" s="15" t="s">
        <v>2528</v>
      </c>
      <c r="E31" s="15" t="s">
        <v>2586</v>
      </c>
      <c r="F31" s="15" t="s">
        <v>2590</v>
      </c>
      <c r="G31" s="15" t="str">
        <f>"4"</f>
        <v>4</v>
      </c>
      <c r="H31" s="15" t="str">
        <f t="shared" si="1"/>
        <v>31033</v>
      </c>
      <c r="I31" s="15" t="s">
        <v>13</v>
      </c>
      <c r="J31" s="15" t="s">
        <v>927</v>
      </c>
      <c r="K31" s="15" t="s">
        <v>115</v>
      </c>
    </row>
    <row r="32" spans="1:11" ht="15" x14ac:dyDescent="0.25">
      <c r="A32" s="3">
        <v>28</v>
      </c>
      <c r="B32" s="3" t="s">
        <v>2597</v>
      </c>
      <c r="C32" s="3" t="s">
        <v>2598</v>
      </c>
      <c r="D32" s="3" t="s">
        <v>2528</v>
      </c>
      <c r="E32" s="3" t="s">
        <v>2586</v>
      </c>
      <c r="F32" s="3" t="s">
        <v>2599</v>
      </c>
      <c r="G32" s="3" t="str">
        <f>"25/27"</f>
        <v>25/27</v>
      </c>
      <c r="H32" s="3" t="str">
        <f t="shared" si="1"/>
        <v>31033</v>
      </c>
      <c r="I32" s="3" t="s">
        <v>13</v>
      </c>
      <c r="J32" s="3" t="s">
        <v>925</v>
      </c>
      <c r="K32" s="3" t="s">
        <v>14</v>
      </c>
    </row>
    <row r="33" spans="1:11" ht="15" x14ac:dyDescent="0.25">
      <c r="A33" s="3">
        <v>29</v>
      </c>
      <c r="B33" s="3" t="s">
        <v>2600</v>
      </c>
      <c r="C33" s="3" t="s">
        <v>2601</v>
      </c>
      <c r="D33" s="3" t="s">
        <v>2528</v>
      </c>
      <c r="E33" s="3" t="s">
        <v>2586</v>
      </c>
      <c r="F33" s="3" t="s">
        <v>2602</v>
      </c>
      <c r="G33" s="3" t="str">
        <f>"18"</f>
        <v>18</v>
      </c>
      <c r="H33" s="3" t="str">
        <f t="shared" si="1"/>
        <v>31033</v>
      </c>
      <c r="I33" s="3" t="s">
        <v>13</v>
      </c>
      <c r="J33" s="3" t="s">
        <v>925</v>
      </c>
      <c r="K33" s="3" t="s">
        <v>205</v>
      </c>
    </row>
    <row r="34" spans="1:11" ht="15" x14ac:dyDescent="0.25">
      <c r="A34" s="3">
        <v>30</v>
      </c>
      <c r="B34" s="3" t="s">
        <v>2603</v>
      </c>
      <c r="C34" s="3" t="s">
        <v>2604</v>
      </c>
      <c r="D34" s="3" t="s">
        <v>2528</v>
      </c>
      <c r="E34" s="3" t="s">
        <v>2586</v>
      </c>
      <c r="F34" s="3" t="s">
        <v>2605</v>
      </c>
      <c r="G34" s="3" t="str">
        <f>"38/B"</f>
        <v>38/B</v>
      </c>
      <c r="H34" s="3" t="str">
        <f t="shared" si="1"/>
        <v>31033</v>
      </c>
      <c r="I34" s="3" t="s">
        <v>13</v>
      </c>
      <c r="J34" s="3" t="s">
        <v>925</v>
      </c>
      <c r="K34" s="3" t="s">
        <v>20</v>
      </c>
    </row>
    <row r="35" spans="1:11" ht="15" x14ac:dyDescent="0.25">
      <c r="A35" s="3">
        <v>31</v>
      </c>
      <c r="B35" s="3" t="s">
        <v>1372</v>
      </c>
      <c r="C35" s="3" t="s">
        <v>2606</v>
      </c>
      <c r="D35" s="3" t="s">
        <v>2528</v>
      </c>
      <c r="E35" s="3" t="s">
        <v>2586</v>
      </c>
      <c r="F35" s="3" t="s">
        <v>2588</v>
      </c>
      <c r="G35" s="3" t="str">
        <f>"16/Z"</f>
        <v>16/Z</v>
      </c>
      <c r="H35" s="3" t="str">
        <f t="shared" si="1"/>
        <v>31033</v>
      </c>
      <c r="I35" s="3" t="s">
        <v>13</v>
      </c>
      <c r="J35" s="3" t="s">
        <v>925</v>
      </c>
      <c r="K35" s="3" t="s">
        <v>14</v>
      </c>
    </row>
    <row r="36" spans="1:11" ht="15" x14ac:dyDescent="0.25">
      <c r="A36" s="15">
        <v>32</v>
      </c>
      <c r="B36" s="15" t="s">
        <v>2607</v>
      </c>
      <c r="C36" s="15" t="s">
        <v>2608</v>
      </c>
      <c r="D36" s="15" t="s">
        <v>2528</v>
      </c>
      <c r="E36" s="15" t="s">
        <v>2586</v>
      </c>
      <c r="F36" s="15" t="s">
        <v>2588</v>
      </c>
      <c r="G36" s="15" t="str">
        <f>"21/A"</f>
        <v>21/A</v>
      </c>
      <c r="H36" s="15" t="str">
        <f t="shared" si="1"/>
        <v>31033</v>
      </c>
      <c r="I36" s="15" t="s">
        <v>13</v>
      </c>
      <c r="J36" s="15" t="s">
        <v>927</v>
      </c>
      <c r="K36" s="15" t="s">
        <v>14</v>
      </c>
    </row>
    <row r="37" spans="1:11" ht="15" x14ac:dyDescent="0.25">
      <c r="A37" s="3">
        <v>33</v>
      </c>
      <c r="B37" s="3" t="s">
        <v>2609</v>
      </c>
      <c r="C37" s="3" t="s">
        <v>2610</v>
      </c>
      <c r="D37" s="3" t="s">
        <v>2528</v>
      </c>
      <c r="E37" s="3" t="s">
        <v>2586</v>
      </c>
      <c r="F37" s="3" t="s">
        <v>2611</v>
      </c>
      <c r="G37" s="3" t="str">
        <f>"13"</f>
        <v>13</v>
      </c>
      <c r="H37" s="3" t="str">
        <f t="shared" si="1"/>
        <v>31033</v>
      </c>
      <c r="I37" s="3" t="s">
        <v>13</v>
      </c>
      <c r="J37" s="3" t="s">
        <v>925</v>
      </c>
      <c r="K37" s="3" t="s">
        <v>14</v>
      </c>
    </row>
    <row r="38" spans="1:11" ht="15" x14ac:dyDescent="0.25">
      <c r="A38" s="4">
        <v>34</v>
      </c>
      <c r="B38" s="4" t="s">
        <v>2543</v>
      </c>
      <c r="C38" s="4" t="s">
        <v>2612</v>
      </c>
      <c r="D38" s="4" t="s">
        <v>2528</v>
      </c>
      <c r="E38" s="4" t="s">
        <v>2586</v>
      </c>
      <c r="F38" s="4" t="s">
        <v>2613</v>
      </c>
      <c r="G38" s="4" t="str">
        <f>"1/F"</f>
        <v>1/F</v>
      </c>
      <c r="H38" s="4" t="str">
        <f t="shared" si="1"/>
        <v>31033</v>
      </c>
      <c r="I38" s="4" t="s">
        <v>13</v>
      </c>
      <c r="J38" s="4" t="s">
        <v>926</v>
      </c>
      <c r="K38" s="4" t="s">
        <v>165</v>
      </c>
    </row>
    <row r="39" spans="1:11" x14ac:dyDescent="0.3">
      <c r="A39" s="3">
        <v>35</v>
      </c>
      <c r="B39" s="3" t="s">
        <v>2614</v>
      </c>
      <c r="C39" s="3" t="s">
        <v>2615</v>
      </c>
      <c r="D39" s="3" t="s">
        <v>2528</v>
      </c>
      <c r="E39" s="3" t="s">
        <v>2586</v>
      </c>
      <c r="F39" s="3" t="s">
        <v>2588</v>
      </c>
      <c r="G39" s="3" t="str">
        <f>"13/A"</f>
        <v>13/A</v>
      </c>
      <c r="H39" s="3" t="str">
        <f t="shared" si="1"/>
        <v>31033</v>
      </c>
      <c r="I39" s="3" t="s">
        <v>13</v>
      </c>
      <c r="J39" s="3" t="s">
        <v>925</v>
      </c>
      <c r="K39" s="3" t="s">
        <v>20</v>
      </c>
    </row>
    <row r="40" spans="1:11" x14ac:dyDescent="0.3">
      <c r="A40" s="3">
        <v>36</v>
      </c>
      <c r="B40" s="3" t="s">
        <v>2616</v>
      </c>
      <c r="C40" s="3" t="s">
        <v>2617</v>
      </c>
      <c r="D40" s="3" t="s">
        <v>2528</v>
      </c>
      <c r="E40" s="3" t="s">
        <v>2586</v>
      </c>
      <c r="F40" s="3" t="s">
        <v>2618</v>
      </c>
      <c r="G40" s="3" t="str">
        <f>"5"</f>
        <v>5</v>
      </c>
      <c r="H40" s="3" t="str">
        <f t="shared" si="1"/>
        <v>31033</v>
      </c>
      <c r="I40" s="3" t="s">
        <v>13</v>
      </c>
      <c r="J40" s="3" t="s">
        <v>925</v>
      </c>
      <c r="K40" s="3" t="s">
        <v>14</v>
      </c>
    </row>
    <row r="41" spans="1:11" x14ac:dyDescent="0.3">
      <c r="A41" s="15">
        <v>37</v>
      </c>
      <c r="B41" s="15" t="s">
        <v>2619</v>
      </c>
      <c r="C41" s="15" t="s">
        <v>2620</v>
      </c>
      <c r="D41" s="15" t="s">
        <v>2528</v>
      </c>
      <c r="E41" s="15" t="s">
        <v>2586</v>
      </c>
      <c r="F41" s="15" t="s">
        <v>2621</v>
      </c>
      <c r="G41" s="15" t="str">
        <f>"SNC"</f>
        <v>SNC</v>
      </c>
      <c r="H41" s="15" t="str">
        <f t="shared" si="1"/>
        <v>31033</v>
      </c>
      <c r="I41" s="15" t="s">
        <v>13</v>
      </c>
      <c r="J41" s="15" t="s">
        <v>927</v>
      </c>
      <c r="K41" s="15" t="s">
        <v>20</v>
      </c>
    </row>
    <row r="42" spans="1:11" x14ac:dyDescent="0.3">
      <c r="A42" s="15">
        <v>38</v>
      </c>
      <c r="B42" s="15" t="s">
        <v>1123</v>
      </c>
      <c r="C42" s="15" t="s">
        <v>274</v>
      </c>
      <c r="D42" s="15" t="s">
        <v>2528</v>
      </c>
      <c r="E42" s="15" t="s">
        <v>2586</v>
      </c>
      <c r="F42" s="15" t="s">
        <v>875</v>
      </c>
      <c r="G42" s="15" t="str">
        <f>"115"</f>
        <v>115</v>
      </c>
      <c r="H42" s="15" t="str">
        <f t="shared" si="1"/>
        <v>31033</v>
      </c>
      <c r="I42" s="15" t="s">
        <v>13</v>
      </c>
      <c r="J42" s="15" t="s">
        <v>927</v>
      </c>
      <c r="K42" s="15" t="s">
        <v>14</v>
      </c>
    </row>
    <row r="43" spans="1:11" x14ac:dyDescent="0.3">
      <c r="A43" s="15">
        <v>39</v>
      </c>
      <c r="B43" s="15" t="s">
        <v>2622</v>
      </c>
      <c r="C43" s="15" t="s">
        <v>2623</v>
      </c>
      <c r="D43" s="15" t="s">
        <v>2528</v>
      </c>
      <c r="E43" s="15" t="s">
        <v>2586</v>
      </c>
      <c r="F43" s="15" t="s">
        <v>2624</v>
      </c>
      <c r="G43" s="15" t="str">
        <f>"74"</f>
        <v>74</v>
      </c>
      <c r="H43" s="15" t="str">
        <f t="shared" si="1"/>
        <v>31033</v>
      </c>
      <c r="I43" s="15" t="s">
        <v>13</v>
      </c>
      <c r="J43" s="15" t="s">
        <v>927</v>
      </c>
      <c r="K43" s="15" t="s">
        <v>43</v>
      </c>
    </row>
    <row r="44" spans="1:11" x14ac:dyDescent="0.3">
      <c r="A44" s="3">
        <v>40</v>
      </c>
      <c r="B44" s="3" t="s">
        <v>2625</v>
      </c>
      <c r="C44" s="3" t="s">
        <v>2392</v>
      </c>
      <c r="D44" s="3" t="s">
        <v>2528</v>
      </c>
      <c r="E44" s="3" t="s">
        <v>2586</v>
      </c>
      <c r="F44" s="3" t="s">
        <v>141</v>
      </c>
      <c r="G44" s="3" t="str">
        <f>"132"</f>
        <v>132</v>
      </c>
      <c r="H44" s="3" t="str">
        <f t="shared" si="1"/>
        <v>31033</v>
      </c>
      <c r="I44" s="3" t="s">
        <v>13</v>
      </c>
      <c r="J44" s="3" t="s">
        <v>925</v>
      </c>
      <c r="K44" s="3" t="s">
        <v>66</v>
      </c>
    </row>
    <row r="45" spans="1:11" x14ac:dyDescent="0.3">
      <c r="A45" s="4">
        <v>41</v>
      </c>
      <c r="B45" s="4" t="s">
        <v>2626</v>
      </c>
      <c r="C45" s="4" t="s">
        <v>2627</v>
      </c>
      <c r="D45" s="4" t="s">
        <v>2528</v>
      </c>
      <c r="E45" s="4" t="s">
        <v>2586</v>
      </c>
      <c r="F45" s="4" t="s">
        <v>2628</v>
      </c>
      <c r="G45" s="4" t="str">
        <f>"1/B"</f>
        <v>1/B</v>
      </c>
      <c r="H45" s="4" t="str">
        <f t="shared" si="1"/>
        <v>31033</v>
      </c>
      <c r="I45" s="4" t="s">
        <v>13</v>
      </c>
      <c r="J45" s="4" t="s">
        <v>926</v>
      </c>
      <c r="K45" s="4" t="s">
        <v>165</v>
      </c>
    </row>
    <row r="46" spans="1:11" x14ac:dyDescent="0.3">
      <c r="A46" s="3">
        <v>42</v>
      </c>
      <c r="B46" s="3" t="s">
        <v>2629</v>
      </c>
      <c r="C46" s="3" t="s">
        <v>2630</v>
      </c>
      <c r="D46" s="3" t="s">
        <v>2528</v>
      </c>
      <c r="E46" s="3" t="s">
        <v>2631</v>
      </c>
      <c r="F46" s="3" t="s">
        <v>69</v>
      </c>
      <c r="G46" s="3" t="str">
        <f>"67"</f>
        <v>67</v>
      </c>
      <c r="H46" s="3" t="str">
        <f>"31030"</f>
        <v>31030</v>
      </c>
      <c r="I46" s="3" t="s">
        <v>13</v>
      </c>
      <c r="J46" s="3" t="s">
        <v>925</v>
      </c>
      <c r="K46" s="3" t="s">
        <v>1701</v>
      </c>
    </row>
    <row r="47" spans="1:11" x14ac:dyDescent="0.3">
      <c r="A47" s="3">
        <v>43</v>
      </c>
      <c r="B47" s="3" t="s">
        <v>2632</v>
      </c>
      <c r="C47" s="3" t="s">
        <v>2633</v>
      </c>
      <c r="D47" s="3" t="s">
        <v>2528</v>
      </c>
      <c r="E47" s="3" t="s">
        <v>2631</v>
      </c>
      <c r="F47" s="3" t="s">
        <v>590</v>
      </c>
      <c r="G47" s="3" t="str">
        <f>"2"</f>
        <v>2</v>
      </c>
      <c r="H47" s="3" t="str">
        <f>"31030"</f>
        <v>31030</v>
      </c>
      <c r="I47" s="3" t="s">
        <v>13</v>
      </c>
      <c r="J47" s="3" t="s">
        <v>925</v>
      </c>
      <c r="K47" s="3" t="s">
        <v>235</v>
      </c>
    </row>
    <row r="48" spans="1:11" x14ac:dyDescent="0.3">
      <c r="A48" s="3">
        <v>44</v>
      </c>
      <c r="B48" s="3" t="s">
        <v>2634</v>
      </c>
      <c r="C48" s="3" t="s">
        <v>2635</v>
      </c>
      <c r="D48" s="3" t="s">
        <v>2528</v>
      </c>
      <c r="E48" s="3" t="s">
        <v>2636</v>
      </c>
      <c r="F48" s="3" t="s">
        <v>48</v>
      </c>
      <c r="G48" s="3" t="str">
        <f>"2"</f>
        <v>2</v>
      </c>
      <c r="H48" s="3" t="str">
        <f>"31040"</f>
        <v>31040</v>
      </c>
      <c r="I48" s="3" t="s">
        <v>13</v>
      </c>
      <c r="J48" s="3" t="s">
        <v>925</v>
      </c>
      <c r="K48" s="3" t="s">
        <v>43</v>
      </c>
    </row>
    <row r="49" spans="1:11" x14ac:dyDescent="0.3">
      <c r="A49" s="3">
        <v>45</v>
      </c>
      <c r="B49" s="3" t="s">
        <v>2637</v>
      </c>
      <c r="C49" s="3" t="s">
        <v>2638</v>
      </c>
      <c r="D49" s="3" t="s">
        <v>2528</v>
      </c>
      <c r="E49" s="3" t="s">
        <v>2639</v>
      </c>
      <c r="F49" s="3" t="s">
        <v>2640</v>
      </c>
      <c r="G49" s="3" t="str">
        <f>"SNC"</f>
        <v>SNC</v>
      </c>
      <c r="H49" s="3" t="str">
        <f>"31013"</f>
        <v>31013</v>
      </c>
      <c r="I49" s="3" t="s">
        <v>13</v>
      </c>
      <c r="J49" s="3" t="s">
        <v>925</v>
      </c>
      <c r="K49" s="3" t="s">
        <v>118</v>
      </c>
    </row>
    <row r="50" spans="1:11" x14ac:dyDescent="0.3">
      <c r="A50" s="3">
        <v>46</v>
      </c>
      <c r="B50" s="3" t="s">
        <v>2641</v>
      </c>
      <c r="C50" s="3" t="s">
        <v>2642</v>
      </c>
      <c r="D50" s="3" t="s">
        <v>2528</v>
      </c>
      <c r="E50" s="3" t="s">
        <v>2639</v>
      </c>
      <c r="F50" s="3" t="s">
        <v>2643</v>
      </c>
      <c r="G50" s="3" t="str">
        <f>"51"</f>
        <v>51</v>
      </c>
      <c r="H50" s="3" t="str">
        <f>"31013"</f>
        <v>31013</v>
      </c>
      <c r="I50" s="3" t="s">
        <v>13</v>
      </c>
      <c r="J50" s="3" t="s">
        <v>925</v>
      </c>
      <c r="K50" s="3" t="s">
        <v>14</v>
      </c>
    </row>
    <row r="51" spans="1:11" x14ac:dyDescent="0.3">
      <c r="A51" s="3">
        <v>47</v>
      </c>
      <c r="B51" s="3" t="s">
        <v>2644</v>
      </c>
      <c r="C51" s="3" t="s">
        <v>2645</v>
      </c>
      <c r="D51" s="3" t="s">
        <v>2528</v>
      </c>
      <c r="E51" s="3" t="s">
        <v>2639</v>
      </c>
      <c r="F51" s="3" t="s">
        <v>2646</v>
      </c>
      <c r="G51" s="3" t="str">
        <f>"6"</f>
        <v>6</v>
      </c>
      <c r="H51" s="3" t="str">
        <f>"31013"</f>
        <v>31013</v>
      </c>
      <c r="I51" s="3" t="s">
        <v>13</v>
      </c>
      <c r="J51" s="3" t="s">
        <v>925</v>
      </c>
      <c r="K51" s="3" t="s">
        <v>43</v>
      </c>
    </row>
    <row r="52" spans="1:11" x14ac:dyDescent="0.3">
      <c r="A52" s="3">
        <v>48</v>
      </c>
      <c r="B52" s="3" t="s">
        <v>2647</v>
      </c>
      <c r="C52" s="3" t="s">
        <v>2648</v>
      </c>
      <c r="D52" s="3" t="s">
        <v>2528</v>
      </c>
      <c r="E52" s="3" t="s">
        <v>2639</v>
      </c>
      <c r="F52" s="3" t="s">
        <v>818</v>
      </c>
      <c r="G52" s="3" t="str">
        <f>"46"</f>
        <v>46</v>
      </c>
      <c r="H52" s="3" t="str">
        <f>"31013"</f>
        <v>31013</v>
      </c>
      <c r="I52" s="3" t="s">
        <v>13</v>
      </c>
      <c r="J52" s="3" t="s">
        <v>925</v>
      </c>
      <c r="K52" s="3" t="s">
        <v>224</v>
      </c>
    </row>
    <row r="53" spans="1:11" x14ac:dyDescent="0.3">
      <c r="A53" s="4">
        <v>49</v>
      </c>
      <c r="B53" s="4" t="s">
        <v>2649</v>
      </c>
      <c r="C53" s="4" t="s">
        <v>2650</v>
      </c>
      <c r="D53" s="4" t="s">
        <v>2528</v>
      </c>
      <c r="E53" s="4" t="s">
        <v>2651</v>
      </c>
      <c r="F53" s="4" t="s">
        <v>2652</v>
      </c>
      <c r="G53" s="4" t="str">
        <f>"6"</f>
        <v>6</v>
      </c>
      <c r="H53" s="4" t="str">
        <f>"31014"</f>
        <v>31014</v>
      </c>
      <c r="I53" s="4" t="s">
        <v>13</v>
      </c>
      <c r="J53" s="4" t="s">
        <v>926</v>
      </c>
      <c r="K53" s="4" t="s">
        <v>20</v>
      </c>
    </row>
    <row r="54" spans="1:11" x14ac:dyDescent="0.3">
      <c r="A54" s="3">
        <v>50</v>
      </c>
      <c r="B54" s="3" t="s">
        <v>2653</v>
      </c>
      <c r="C54" s="3" t="s">
        <v>2654</v>
      </c>
      <c r="D54" s="3" t="s">
        <v>2528</v>
      </c>
      <c r="E54" s="3" t="s">
        <v>2651</v>
      </c>
      <c r="F54" s="3" t="s">
        <v>2655</v>
      </c>
      <c r="G54" s="3" t="str">
        <f>"12/3"</f>
        <v>12/3</v>
      </c>
      <c r="H54" s="3" t="str">
        <f>"31014"</f>
        <v>31014</v>
      </c>
      <c r="I54" s="3" t="s">
        <v>13</v>
      </c>
      <c r="J54" s="3" t="s">
        <v>925</v>
      </c>
      <c r="K54" s="3" t="s">
        <v>14</v>
      </c>
    </row>
    <row r="55" spans="1:11" x14ac:dyDescent="0.3">
      <c r="A55" s="4">
        <v>51</v>
      </c>
      <c r="B55" s="4" t="s">
        <v>2656</v>
      </c>
      <c r="C55" s="4" t="s">
        <v>2657</v>
      </c>
      <c r="D55" s="4" t="s">
        <v>2528</v>
      </c>
      <c r="E55" s="4" t="s">
        <v>2651</v>
      </c>
      <c r="F55" s="4" t="s">
        <v>2658</v>
      </c>
      <c r="G55" s="4" t="str">
        <f>"24"</f>
        <v>24</v>
      </c>
      <c r="H55" s="4" t="str">
        <f>"31014"</f>
        <v>31014</v>
      </c>
      <c r="I55" s="4" t="s">
        <v>13</v>
      </c>
      <c r="J55" s="4" t="s">
        <v>926</v>
      </c>
      <c r="K55" s="4" t="s">
        <v>20</v>
      </c>
    </row>
    <row r="56" spans="1:11" x14ac:dyDescent="0.3">
      <c r="A56" s="15">
        <v>52</v>
      </c>
      <c r="B56" s="15" t="s">
        <v>931</v>
      </c>
      <c r="C56" s="15" t="s">
        <v>9</v>
      </c>
      <c r="D56" s="15" t="s">
        <v>2528</v>
      </c>
      <c r="E56" s="15" t="s">
        <v>2659</v>
      </c>
      <c r="F56" s="15" t="s">
        <v>2660</v>
      </c>
      <c r="G56" s="15" t="str">
        <f>"1"</f>
        <v>1</v>
      </c>
      <c r="H56" s="15" t="str">
        <f t="shared" ref="H56:H73" si="2">"31015"</f>
        <v>31015</v>
      </c>
      <c r="I56" s="15" t="s">
        <v>13</v>
      </c>
      <c r="J56" s="15" t="s">
        <v>927</v>
      </c>
      <c r="K56" s="15" t="s">
        <v>14</v>
      </c>
    </row>
    <row r="57" spans="1:11" x14ac:dyDescent="0.3">
      <c r="A57" s="4">
        <v>53</v>
      </c>
      <c r="B57" s="4" t="s">
        <v>2661</v>
      </c>
      <c r="C57" s="4" t="s">
        <v>2662</v>
      </c>
      <c r="D57" s="4" t="s">
        <v>2528</v>
      </c>
      <c r="E57" s="4" t="s">
        <v>2659</v>
      </c>
      <c r="F57" s="4" t="s">
        <v>1833</v>
      </c>
      <c r="G57" s="4" t="str">
        <f>"8"</f>
        <v>8</v>
      </c>
      <c r="H57" s="4" t="str">
        <f t="shared" si="2"/>
        <v>31015</v>
      </c>
      <c r="I57" s="4" t="s">
        <v>13</v>
      </c>
      <c r="J57" s="4" t="s">
        <v>926</v>
      </c>
      <c r="K57" s="4" t="s">
        <v>224</v>
      </c>
    </row>
    <row r="58" spans="1:11" x14ac:dyDescent="0.3">
      <c r="A58" s="4">
        <v>54</v>
      </c>
      <c r="B58" s="4" t="s">
        <v>2663</v>
      </c>
      <c r="C58" s="4" t="s">
        <v>2664</v>
      </c>
      <c r="D58" s="4" t="s">
        <v>2528</v>
      </c>
      <c r="E58" s="4" t="s">
        <v>2659</v>
      </c>
      <c r="F58" s="4" t="s">
        <v>53</v>
      </c>
      <c r="G58" s="4" t="str">
        <f>"33"</f>
        <v>33</v>
      </c>
      <c r="H58" s="4" t="str">
        <f t="shared" si="2"/>
        <v>31015</v>
      </c>
      <c r="I58" s="4" t="s">
        <v>13</v>
      </c>
      <c r="J58" s="4" t="s">
        <v>926</v>
      </c>
      <c r="K58" s="4" t="s">
        <v>20</v>
      </c>
    </row>
    <row r="59" spans="1:11" x14ac:dyDescent="0.3">
      <c r="A59" s="4">
        <v>55</v>
      </c>
      <c r="B59" s="4" t="s">
        <v>2665</v>
      </c>
      <c r="C59" s="4" t="s">
        <v>330</v>
      </c>
      <c r="D59" s="4" t="s">
        <v>2528</v>
      </c>
      <c r="E59" s="4" t="s">
        <v>2659</v>
      </c>
      <c r="F59" s="4" t="s">
        <v>2666</v>
      </c>
      <c r="G59" s="4" t="str">
        <f>"8"</f>
        <v>8</v>
      </c>
      <c r="H59" s="4" t="str">
        <f t="shared" si="2"/>
        <v>31015</v>
      </c>
      <c r="I59" s="4" t="s">
        <v>13</v>
      </c>
      <c r="J59" s="4" t="s">
        <v>926</v>
      </c>
      <c r="K59" s="4" t="s">
        <v>139</v>
      </c>
    </row>
    <row r="60" spans="1:11" x14ac:dyDescent="0.3">
      <c r="A60" s="4">
        <v>56</v>
      </c>
      <c r="B60" s="4" t="s">
        <v>2667</v>
      </c>
      <c r="C60" s="4" t="s">
        <v>2668</v>
      </c>
      <c r="D60" s="4" t="s">
        <v>2528</v>
      </c>
      <c r="E60" s="4" t="s">
        <v>2659</v>
      </c>
      <c r="F60" s="4" t="s">
        <v>2669</v>
      </c>
      <c r="G60" s="4" t="str">
        <f>"2"</f>
        <v>2</v>
      </c>
      <c r="H60" s="4" t="str">
        <f t="shared" si="2"/>
        <v>31015</v>
      </c>
      <c r="I60" s="4" t="s">
        <v>13</v>
      </c>
      <c r="J60" s="4" t="s">
        <v>926</v>
      </c>
      <c r="K60" s="4" t="s">
        <v>342</v>
      </c>
    </row>
    <row r="61" spans="1:11" x14ac:dyDescent="0.3">
      <c r="A61" s="4">
        <v>57</v>
      </c>
      <c r="B61" s="4" t="s">
        <v>1107</v>
      </c>
      <c r="C61" s="4" t="s">
        <v>255</v>
      </c>
      <c r="D61" s="4" t="s">
        <v>2528</v>
      </c>
      <c r="E61" s="4" t="s">
        <v>2659</v>
      </c>
      <c r="F61" s="4" t="s">
        <v>2670</v>
      </c>
      <c r="G61" s="4" t="str">
        <f>"97"</f>
        <v>97</v>
      </c>
      <c r="H61" s="4" t="str">
        <f t="shared" si="2"/>
        <v>31015</v>
      </c>
      <c r="I61" s="4" t="s">
        <v>13</v>
      </c>
      <c r="J61" s="4" t="s">
        <v>926</v>
      </c>
      <c r="K61" s="4" t="s">
        <v>14</v>
      </c>
    </row>
    <row r="62" spans="1:11" x14ac:dyDescent="0.3">
      <c r="A62" s="15">
        <v>58</v>
      </c>
      <c r="B62" s="15" t="s">
        <v>2671</v>
      </c>
      <c r="C62" s="15" t="s">
        <v>2672</v>
      </c>
      <c r="D62" s="15" t="s">
        <v>2528</v>
      </c>
      <c r="E62" s="15" t="s">
        <v>2659</v>
      </c>
      <c r="F62" s="15" t="s">
        <v>2673</v>
      </c>
      <c r="G62" s="15" t="str">
        <f>"349"</f>
        <v>349</v>
      </c>
      <c r="H62" s="15" t="str">
        <f t="shared" si="2"/>
        <v>31015</v>
      </c>
      <c r="I62" s="15" t="s">
        <v>13</v>
      </c>
      <c r="J62" s="15" t="s">
        <v>927</v>
      </c>
      <c r="K62" s="15" t="s">
        <v>66</v>
      </c>
    </row>
    <row r="63" spans="1:11" x14ac:dyDescent="0.3">
      <c r="A63" s="15">
        <v>59</v>
      </c>
      <c r="B63" s="15" t="s">
        <v>1626</v>
      </c>
      <c r="C63" s="15" t="s">
        <v>892</v>
      </c>
      <c r="D63" s="15" t="s">
        <v>2528</v>
      </c>
      <c r="E63" s="15" t="s">
        <v>2659</v>
      </c>
      <c r="F63" s="15" t="s">
        <v>2674</v>
      </c>
      <c r="G63" s="15" t="str">
        <f>"SNC"</f>
        <v>SNC</v>
      </c>
      <c r="H63" s="15" t="str">
        <f t="shared" si="2"/>
        <v>31015</v>
      </c>
      <c r="I63" s="15" t="s">
        <v>13</v>
      </c>
      <c r="J63" s="15" t="s">
        <v>927</v>
      </c>
      <c r="K63" s="15" t="s">
        <v>14</v>
      </c>
    </row>
    <row r="64" spans="1:11" x14ac:dyDescent="0.3">
      <c r="A64" s="3">
        <v>60</v>
      </c>
      <c r="B64" s="3" t="s">
        <v>2675</v>
      </c>
      <c r="C64" s="3" t="s">
        <v>2594</v>
      </c>
      <c r="D64" s="3" t="s">
        <v>2528</v>
      </c>
      <c r="E64" s="3" t="s">
        <v>2659</v>
      </c>
      <c r="F64" s="3" t="s">
        <v>2676</v>
      </c>
      <c r="G64" s="3" t="str">
        <f>"96"</f>
        <v>96</v>
      </c>
      <c r="H64" s="3" t="str">
        <f t="shared" si="2"/>
        <v>31015</v>
      </c>
      <c r="I64" s="3" t="s">
        <v>13</v>
      </c>
      <c r="J64" s="3" t="s">
        <v>925</v>
      </c>
      <c r="K64" s="3" t="s">
        <v>58</v>
      </c>
    </row>
    <row r="65" spans="1:11" x14ac:dyDescent="0.3">
      <c r="A65" s="3">
        <v>61</v>
      </c>
      <c r="B65" s="3" t="s">
        <v>2677</v>
      </c>
      <c r="C65" s="3" t="s">
        <v>2678</v>
      </c>
      <c r="D65" s="3" t="s">
        <v>2528</v>
      </c>
      <c r="E65" s="3" t="s">
        <v>2659</v>
      </c>
      <c r="F65" s="3" t="s">
        <v>53</v>
      </c>
      <c r="G65" s="3" t="str">
        <f>"5"</f>
        <v>5</v>
      </c>
      <c r="H65" s="3" t="str">
        <f t="shared" si="2"/>
        <v>31015</v>
      </c>
      <c r="I65" s="3" t="s">
        <v>13</v>
      </c>
      <c r="J65" s="3" t="s">
        <v>925</v>
      </c>
      <c r="K65" s="3" t="s">
        <v>43</v>
      </c>
    </row>
    <row r="66" spans="1:11" x14ac:dyDescent="0.3">
      <c r="A66" s="15">
        <v>62</v>
      </c>
      <c r="B66" s="15" t="s">
        <v>1010</v>
      </c>
      <c r="C66" s="15" t="s">
        <v>110</v>
      </c>
      <c r="D66" s="15" t="s">
        <v>2528</v>
      </c>
      <c r="E66" s="15" t="s">
        <v>2659</v>
      </c>
      <c r="F66" s="15" t="s">
        <v>2180</v>
      </c>
      <c r="G66" s="15" t="str">
        <f>"40"</f>
        <v>40</v>
      </c>
      <c r="H66" s="15" t="str">
        <f t="shared" si="2"/>
        <v>31015</v>
      </c>
      <c r="I66" s="15" t="s">
        <v>13</v>
      </c>
      <c r="J66" s="15" t="s">
        <v>927</v>
      </c>
      <c r="K66" s="15" t="s">
        <v>14</v>
      </c>
    </row>
    <row r="67" spans="1:11" x14ac:dyDescent="0.3">
      <c r="A67" s="4">
        <v>63</v>
      </c>
      <c r="B67" s="4" t="s">
        <v>2679</v>
      </c>
      <c r="C67" s="4" t="s">
        <v>2680</v>
      </c>
      <c r="D67" s="4" t="s">
        <v>2528</v>
      </c>
      <c r="E67" s="4" t="s">
        <v>2659</v>
      </c>
      <c r="F67" s="4" t="s">
        <v>552</v>
      </c>
      <c r="G67" s="4" t="str">
        <f>"65/A"</f>
        <v>65/A</v>
      </c>
      <c r="H67" s="4" t="str">
        <f t="shared" si="2"/>
        <v>31015</v>
      </c>
      <c r="I67" s="4" t="s">
        <v>13</v>
      </c>
      <c r="J67" s="4" t="s">
        <v>926</v>
      </c>
      <c r="K67" s="4" t="s">
        <v>20</v>
      </c>
    </row>
    <row r="68" spans="1:11" x14ac:dyDescent="0.3">
      <c r="A68" s="4">
        <v>64</v>
      </c>
      <c r="B68" s="4" t="s">
        <v>2681</v>
      </c>
      <c r="C68" s="4" t="s">
        <v>2682</v>
      </c>
      <c r="D68" s="4" t="s">
        <v>2528</v>
      </c>
      <c r="E68" s="4" t="s">
        <v>2659</v>
      </c>
      <c r="F68" s="4" t="s">
        <v>2683</v>
      </c>
      <c r="G68" s="4" t="str">
        <f>"15"</f>
        <v>15</v>
      </c>
      <c r="H68" s="4" t="str">
        <f t="shared" si="2"/>
        <v>31015</v>
      </c>
      <c r="I68" s="4" t="s">
        <v>13</v>
      </c>
      <c r="J68" s="4" t="s">
        <v>926</v>
      </c>
      <c r="K68" s="4" t="s">
        <v>43</v>
      </c>
    </row>
    <row r="69" spans="1:11" x14ac:dyDescent="0.3">
      <c r="A69" s="3">
        <v>65</v>
      </c>
      <c r="B69" s="3" t="s">
        <v>2684</v>
      </c>
      <c r="C69" s="3" t="s">
        <v>215</v>
      </c>
      <c r="D69" s="3" t="s">
        <v>2528</v>
      </c>
      <c r="E69" s="3" t="s">
        <v>2659</v>
      </c>
      <c r="F69" s="3" t="s">
        <v>2685</v>
      </c>
      <c r="G69" s="3" t="str">
        <f>"190"</f>
        <v>190</v>
      </c>
      <c r="H69" s="3" t="str">
        <f t="shared" si="2"/>
        <v>31015</v>
      </c>
      <c r="I69" s="3" t="s">
        <v>13</v>
      </c>
      <c r="J69" s="3" t="s">
        <v>925</v>
      </c>
      <c r="K69" s="3" t="s">
        <v>2686</v>
      </c>
    </row>
    <row r="70" spans="1:11" x14ac:dyDescent="0.3">
      <c r="A70" s="4">
        <v>66</v>
      </c>
      <c r="B70" s="4" t="s">
        <v>2687</v>
      </c>
      <c r="C70" s="4" t="s">
        <v>2688</v>
      </c>
      <c r="D70" s="4" t="s">
        <v>2528</v>
      </c>
      <c r="E70" s="4" t="s">
        <v>2659</v>
      </c>
      <c r="F70" s="4" t="s">
        <v>278</v>
      </c>
      <c r="G70" s="4" t="str">
        <f>"32"</f>
        <v>32</v>
      </c>
      <c r="H70" s="4" t="str">
        <f t="shared" si="2"/>
        <v>31015</v>
      </c>
      <c r="I70" s="4" t="s">
        <v>13</v>
      </c>
      <c r="J70" s="4" t="s">
        <v>926</v>
      </c>
      <c r="K70" s="4" t="s">
        <v>342</v>
      </c>
    </row>
    <row r="71" spans="1:11" x14ac:dyDescent="0.3">
      <c r="A71" s="15">
        <v>67</v>
      </c>
      <c r="B71" s="15" t="s">
        <v>2619</v>
      </c>
      <c r="C71" s="15" t="s">
        <v>2620</v>
      </c>
      <c r="D71" s="15" t="s">
        <v>2528</v>
      </c>
      <c r="E71" s="15" t="s">
        <v>2659</v>
      </c>
      <c r="F71" s="15" t="s">
        <v>2689</v>
      </c>
      <c r="G71" s="15" t="str">
        <f>"40/42"</f>
        <v>40/42</v>
      </c>
      <c r="H71" s="15" t="str">
        <f t="shared" si="2"/>
        <v>31015</v>
      </c>
      <c r="I71" s="15" t="s">
        <v>13</v>
      </c>
      <c r="J71" s="15" t="s">
        <v>927</v>
      </c>
      <c r="K71" s="15" t="s">
        <v>20</v>
      </c>
    </row>
    <row r="72" spans="1:11" x14ac:dyDescent="0.3">
      <c r="A72" s="3">
        <v>68</v>
      </c>
      <c r="B72" s="3" t="s">
        <v>2690</v>
      </c>
      <c r="C72" s="3" t="s">
        <v>2691</v>
      </c>
      <c r="D72" s="3" t="s">
        <v>2528</v>
      </c>
      <c r="E72" s="3" t="s">
        <v>2659</v>
      </c>
      <c r="F72" s="3" t="s">
        <v>2692</v>
      </c>
      <c r="G72" s="3" t="str">
        <f>"20"</f>
        <v>20</v>
      </c>
      <c r="H72" s="3" t="str">
        <f t="shared" si="2"/>
        <v>31015</v>
      </c>
      <c r="I72" s="3" t="s">
        <v>13</v>
      </c>
      <c r="J72" s="3" t="s">
        <v>925</v>
      </c>
      <c r="K72" s="3" t="s">
        <v>139</v>
      </c>
    </row>
    <row r="73" spans="1:11" x14ac:dyDescent="0.3">
      <c r="A73" s="3">
        <v>69</v>
      </c>
      <c r="B73" s="3" t="s">
        <v>2693</v>
      </c>
      <c r="C73" s="3" t="s">
        <v>2694</v>
      </c>
      <c r="D73" s="3" t="s">
        <v>2528</v>
      </c>
      <c r="E73" s="3" t="s">
        <v>2659</v>
      </c>
      <c r="F73" s="3" t="s">
        <v>53</v>
      </c>
      <c r="G73" s="3" t="str">
        <f>"5/R"</f>
        <v>5/R</v>
      </c>
      <c r="H73" s="3" t="str">
        <f t="shared" si="2"/>
        <v>31015</v>
      </c>
      <c r="I73" s="3" t="s">
        <v>13</v>
      </c>
      <c r="J73" s="3" t="s">
        <v>925</v>
      </c>
      <c r="K73" s="3" t="s">
        <v>14</v>
      </c>
    </row>
    <row r="74" spans="1:11" x14ac:dyDescent="0.3">
      <c r="A74" s="3">
        <v>70</v>
      </c>
      <c r="B74" s="3" t="s">
        <v>2695</v>
      </c>
      <c r="C74" s="3" t="s">
        <v>2696</v>
      </c>
      <c r="D74" s="3" t="s">
        <v>2528</v>
      </c>
      <c r="E74" s="3" t="s">
        <v>2697</v>
      </c>
      <c r="F74" s="3" t="s">
        <v>2698</v>
      </c>
      <c r="G74" s="3" t="str">
        <f>"14"</f>
        <v>14</v>
      </c>
      <c r="H74" s="3" t="str">
        <f>"31016"</f>
        <v>31016</v>
      </c>
      <c r="I74" s="3" t="s">
        <v>13</v>
      </c>
      <c r="J74" s="3" t="s">
        <v>925</v>
      </c>
      <c r="K74" s="3" t="s">
        <v>1652</v>
      </c>
    </row>
    <row r="75" spans="1:11" x14ac:dyDescent="0.3">
      <c r="A75" s="3">
        <v>71</v>
      </c>
      <c r="B75" s="3" t="s">
        <v>2699</v>
      </c>
      <c r="C75" s="3" t="s">
        <v>2700</v>
      </c>
      <c r="D75" s="3" t="s">
        <v>2528</v>
      </c>
      <c r="E75" s="3" t="s">
        <v>2697</v>
      </c>
      <c r="F75" s="3" t="s">
        <v>2701</v>
      </c>
      <c r="G75" s="3" t="str">
        <f>"34-36"</f>
        <v>34-36</v>
      </c>
      <c r="H75" s="3" t="str">
        <f>"31016"</f>
        <v>31016</v>
      </c>
      <c r="I75" s="3" t="s">
        <v>13</v>
      </c>
      <c r="J75" s="3" t="s">
        <v>925</v>
      </c>
      <c r="K75" s="3" t="s">
        <v>2702</v>
      </c>
    </row>
    <row r="76" spans="1:11" x14ac:dyDescent="0.3">
      <c r="A76" s="3">
        <v>72</v>
      </c>
      <c r="B76" s="3" t="s">
        <v>2703</v>
      </c>
      <c r="C76" s="3" t="s">
        <v>2704</v>
      </c>
      <c r="D76" s="3" t="s">
        <v>2528</v>
      </c>
      <c r="E76" s="3" t="s">
        <v>2705</v>
      </c>
      <c r="F76" s="3" t="s">
        <v>124</v>
      </c>
      <c r="G76" s="3" t="str">
        <f>"1"</f>
        <v>1</v>
      </c>
      <c r="H76" s="3" t="str">
        <f>"31041"</f>
        <v>31041</v>
      </c>
      <c r="I76" s="3" t="s">
        <v>13</v>
      </c>
      <c r="J76" s="3" t="s">
        <v>925</v>
      </c>
      <c r="K76" s="3" t="s">
        <v>14</v>
      </c>
    </row>
    <row r="77" spans="1:11" x14ac:dyDescent="0.3">
      <c r="A77" s="4">
        <v>73</v>
      </c>
      <c r="B77" s="4" t="s">
        <v>2706</v>
      </c>
      <c r="C77" s="4" t="s">
        <v>2707</v>
      </c>
      <c r="D77" s="4" t="s">
        <v>2528</v>
      </c>
      <c r="E77" s="4" t="s">
        <v>2705</v>
      </c>
      <c r="F77" s="4" t="s">
        <v>192</v>
      </c>
      <c r="G77" s="4" t="str">
        <f>"12"</f>
        <v>12</v>
      </c>
      <c r="H77" s="4" t="str">
        <f>"31041"</f>
        <v>31041</v>
      </c>
      <c r="I77" s="4" t="s">
        <v>13</v>
      </c>
      <c r="J77" s="4" t="s">
        <v>926</v>
      </c>
      <c r="K77" s="4" t="s">
        <v>342</v>
      </c>
    </row>
    <row r="78" spans="1:11" x14ac:dyDescent="0.3">
      <c r="A78" s="15">
        <v>74</v>
      </c>
      <c r="B78" s="15" t="s">
        <v>2619</v>
      </c>
      <c r="C78" s="15" t="s">
        <v>2620</v>
      </c>
      <c r="D78" s="15" t="s">
        <v>2528</v>
      </c>
      <c r="E78" s="15" t="s">
        <v>2705</v>
      </c>
      <c r="F78" s="15" t="s">
        <v>192</v>
      </c>
      <c r="G78" s="15" t="str">
        <f>"23/25"</f>
        <v>23/25</v>
      </c>
      <c r="H78" s="15" t="str">
        <f>"31041"</f>
        <v>31041</v>
      </c>
      <c r="I78" s="15" t="s">
        <v>13</v>
      </c>
      <c r="J78" s="15" t="s">
        <v>927</v>
      </c>
      <c r="K78" s="15" t="s">
        <v>14</v>
      </c>
    </row>
    <row r="79" spans="1:11" x14ac:dyDescent="0.3">
      <c r="A79" s="3">
        <v>75</v>
      </c>
      <c r="B79" s="3" t="s">
        <v>2708</v>
      </c>
      <c r="C79" s="3" t="s">
        <v>2709</v>
      </c>
      <c r="D79" s="3" t="s">
        <v>2528</v>
      </c>
      <c r="E79" s="3" t="s">
        <v>2710</v>
      </c>
      <c r="F79" s="3" t="s">
        <v>2711</v>
      </c>
      <c r="G79" s="3" t="str">
        <f>"2"</f>
        <v>2</v>
      </c>
      <c r="H79" s="3" t="str">
        <f>"31035"</f>
        <v>31035</v>
      </c>
      <c r="I79" s="3" t="s">
        <v>13</v>
      </c>
      <c r="J79" s="3" t="s">
        <v>925</v>
      </c>
      <c r="K79" s="3" t="s">
        <v>139</v>
      </c>
    </row>
    <row r="80" spans="1:11" x14ac:dyDescent="0.3">
      <c r="A80" s="15">
        <v>76</v>
      </c>
      <c r="B80" s="15" t="s">
        <v>931</v>
      </c>
      <c r="C80" s="15" t="s">
        <v>54</v>
      </c>
      <c r="D80" s="15" t="s">
        <v>2528</v>
      </c>
      <c r="E80" s="15" t="s">
        <v>2712</v>
      </c>
      <c r="F80" s="15" t="s">
        <v>2713</v>
      </c>
      <c r="G80" s="15" t="str">
        <f>"6"</f>
        <v>6</v>
      </c>
      <c r="H80" s="15" t="str">
        <f>"31010"</f>
        <v>31010</v>
      </c>
      <c r="I80" s="15" t="s">
        <v>13</v>
      </c>
      <c r="J80" s="15" t="s">
        <v>927</v>
      </c>
      <c r="K80" s="15" t="s">
        <v>14</v>
      </c>
    </row>
    <row r="81" spans="1:11" x14ac:dyDescent="0.3">
      <c r="A81" s="3">
        <v>77</v>
      </c>
      <c r="B81" s="3" t="s">
        <v>2714</v>
      </c>
      <c r="C81" s="3" t="s">
        <v>2715</v>
      </c>
      <c r="D81" s="3" t="s">
        <v>2528</v>
      </c>
      <c r="E81" s="3" t="s">
        <v>2712</v>
      </c>
      <c r="F81" s="3" t="s">
        <v>2716</v>
      </c>
      <c r="G81" s="3" t="str">
        <f>"134"</f>
        <v>134</v>
      </c>
      <c r="H81" s="3" t="str">
        <f>"31010"</f>
        <v>31010</v>
      </c>
      <c r="I81" s="3" t="s">
        <v>13</v>
      </c>
      <c r="J81" s="3" t="s">
        <v>925</v>
      </c>
      <c r="K81" s="3" t="s">
        <v>27</v>
      </c>
    </row>
    <row r="82" spans="1:11" x14ac:dyDescent="0.3">
      <c r="A82" s="3">
        <v>78</v>
      </c>
      <c r="B82" s="3" t="s">
        <v>2717</v>
      </c>
      <c r="C82" s="3" t="s">
        <v>2718</v>
      </c>
      <c r="D82" s="3" t="s">
        <v>2528</v>
      </c>
      <c r="E82" s="3" t="s">
        <v>2719</v>
      </c>
      <c r="F82" s="3" t="s">
        <v>48</v>
      </c>
      <c r="G82" s="3" t="str">
        <f>"493"</f>
        <v>493</v>
      </c>
      <c r="H82" s="3" t="str">
        <f>"31043"</f>
        <v>31043</v>
      </c>
      <c r="I82" s="3" t="s">
        <v>13</v>
      </c>
      <c r="J82" s="3" t="s">
        <v>925</v>
      </c>
      <c r="K82" s="3" t="s">
        <v>20</v>
      </c>
    </row>
    <row r="83" spans="1:11" x14ac:dyDescent="0.3">
      <c r="A83" s="4">
        <v>79</v>
      </c>
      <c r="B83" s="4" t="s">
        <v>2720</v>
      </c>
      <c r="C83" s="4" t="s">
        <v>2721</v>
      </c>
      <c r="D83" s="4" t="s">
        <v>2528</v>
      </c>
      <c r="E83" s="4" t="s">
        <v>2722</v>
      </c>
      <c r="F83" s="4" t="s">
        <v>2723</v>
      </c>
      <c r="G83" s="4" t="str">
        <f>"25"</f>
        <v>25</v>
      </c>
      <c r="H83" s="4" t="str">
        <f>"31010"</f>
        <v>31010</v>
      </c>
      <c r="I83" s="4" t="s">
        <v>13</v>
      </c>
      <c r="J83" s="4" t="s">
        <v>926</v>
      </c>
      <c r="K83" s="4" t="s">
        <v>14</v>
      </c>
    </row>
    <row r="84" spans="1:11" x14ac:dyDescent="0.3">
      <c r="A84" s="15">
        <v>80</v>
      </c>
      <c r="B84" s="15" t="s">
        <v>1000</v>
      </c>
      <c r="C84" s="15" t="s">
        <v>2724</v>
      </c>
      <c r="D84" s="15" t="s">
        <v>2528</v>
      </c>
      <c r="E84" s="15" t="s">
        <v>2722</v>
      </c>
      <c r="F84" s="15" t="s">
        <v>2725</v>
      </c>
      <c r="G84" s="15" t="str">
        <f>"3"</f>
        <v>3</v>
      </c>
      <c r="H84" s="15" t="str">
        <f>"31010"</f>
        <v>31010</v>
      </c>
      <c r="I84" s="15" t="s">
        <v>13</v>
      </c>
      <c r="J84" s="15" t="s">
        <v>927</v>
      </c>
      <c r="K84" s="15" t="s">
        <v>1701</v>
      </c>
    </row>
    <row r="85" spans="1:11" x14ac:dyDescent="0.3">
      <c r="A85" s="3">
        <v>81</v>
      </c>
      <c r="B85" s="3" t="s">
        <v>2726</v>
      </c>
      <c r="C85" s="3" t="s">
        <v>2727</v>
      </c>
      <c r="D85" s="3" t="s">
        <v>2528</v>
      </c>
      <c r="E85" s="3" t="s">
        <v>2728</v>
      </c>
      <c r="F85" s="3" t="s">
        <v>2729</v>
      </c>
      <c r="G85" s="3" t="str">
        <f>"2/A"</f>
        <v>2/A</v>
      </c>
      <c r="H85" s="3" t="str">
        <f>"31018"</f>
        <v>31018</v>
      </c>
      <c r="I85" s="3" t="s">
        <v>13</v>
      </c>
      <c r="J85" s="3" t="s">
        <v>925</v>
      </c>
      <c r="K85" s="3" t="s">
        <v>125</v>
      </c>
    </row>
    <row r="86" spans="1:11" x14ac:dyDescent="0.3">
      <c r="A86" s="4">
        <v>82</v>
      </c>
      <c r="B86" s="4" t="s">
        <v>2730</v>
      </c>
      <c r="C86" s="4" t="s">
        <v>2731</v>
      </c>
      <c r="D86" s="4" t="s">
        <v>2528</v>
      </c>
      <c r="E86" s="4" t="s">
        <v>2728</v>
      </c>
      <c r="F86" s="4" t="s">
        <v>2732</v>
      </c>
      <c r="G86" s="4" t="str">
        <f>"41"</f>
        <v>41</v>
      </c>
      <c r="H86" s="4" t="str">
        <f>"31018"</f>
        <v>31018</v>
      </c>
      <c r="I86" s="4" t="s">
        <v>13</v>
      </c>
      <c r="J86" s="4" t="s">
        <v>926</v>
      </c>
      <c r="K86" s="4" t="s">
        <v>14</v>
      </c>
    </row>
    <row r="87" spans="1:11" x14ac:dyDescent="0.3">
      <c r="A87" s="3">
        <v>83</v>
      </c>
      <c r="B87" s="3" t="s">
        <v>2733</v>
      </c>
      <c r="C87" s="3" t="s">
        <v>2734</v>
      </c>
      <c r="D87" s="3" t="s">
        <v>2528</v>
      </c>
      <c r="E87" s="3" t="s">
        <v>2735</v>
      </c>
      <c r="F87" s="3" t="s">
        <v>2736</v>
      </c>
      <c r="G87" s="3" t="str">
        <f>"87"</f>
        <v>87</v>
      </c>
      <c r="H87" s="3" t="str">
        <f>"31040"</f>
        <v>31040</v>
      </c>
      <c r="I87" s="3" t="s">
        <v>13</v>
      </c>
      <c r="J87" s="3" t="s">
        <v>925</v>
      </c>
      <c r="K87" s="3" t="s">
        <v>195</v>
      </c>
    </row>
    <row r="88" spans="1:11" x14ac:dyDescent="0.3">
      <c r="A88" s="15">
        <v>84</v>
      </c>
      <c r="B88" s="15" t="s">
        <v>1502</v>
      </c>
      <c r="C88" s="15" t="s">
        <v>2737</v>
      </c>
      <c r="D88" s="15" t="s">
        <v>2528</v>
      </c>
      <c r="E88" s="15" t="s">
        <v>2735</v>
      </c>
      <c r="F88" s="15" t="s">
        <v>2738</v>
      </c>
      <c r="G88" s="15" t="str">
        <f>"1"</f>
        <v>1</v>
      </c>
      <c r="H88" s="15" t="str">
        <f>"31040"</f>
        <v>31040</v>
      </c>
      <c r="I88" s="15" t="s">
        <v>13</v>
      </c>
      <c r="J88" s="15" t="s">
        <v>927</v>
      </c>
      <c r="K88" s="15" t="s">
        <v>14</v>
      </c>
    </row>
    <row r="89" spans="1:11" x14ac:dyDescent="0.3">
      <c r="A89" s="4">
        <v>85</v>
      </c>
      <c r="B89" s="4" t="s">
        <v>2739</v>
      </c>
      <c r="C89" s="4" t="s">
        <v>2740</v>
      </c>
      <c r="D89" s="4" t="s">
        <v>2528</v>
      </c>
      <c r="E89" s="4" t="s">
        <v>2741</v>
      </c>
      <c r="F89" s="4" t="s">
        <v>2742</v>
      </c>
      <c r="G89" s="4" t="str">
        <f>"21"</f>
        <v>21</v>
      </c>
      <c r="H89" s="4" t="str">
        <f>"31036"</f>
        <v>31036</v>
      </c>
      <c r="I89" s="4" t="s">
        <v>13</v>
      </c>
      <c r="J89" s="4" t="s">
        <v>926</v>
      </c>
      <c r="K89" s="4" t="s">
        <v>58</v>
      </c>
    </row>
    <row r="90" spans="1:11" x14ac:dyDescent="0.3">
      <c r="A90" s="3">
        <v>86</v>
      </c>
      <c r="B90" s="3" t="s">
        <v>2743</v>
      </c>
      <c r="C90" s="3" t="s">
        <v>2744</v>
      </c>
      <c r="D90" s="3" t="s">
        <v>2528</v>
      </c>
      <c r="E90" s="3" t="s">
        <v>2741</v>
      </c>
      <c r="F90" s="3" t="s">
        <v>2130</v>
      </c>
      <c r="G90" s="3" t="str">
        <f>"2"</f>
        <v>2</v>
      </c>
      <c r="H90" s="3" t="str">
        <f>"31036"</f>
        <v>31036</v>
      </c>
      <c r="I90" s="3" t="s">
        <v>13</v>
      </c>
      <c r="J90" s="3" t="s">
        <v>925</v>
      </c>
      <c r="K90" s="3" t="s">
        <v>20</v>
      </c>
    </row>
    <row r="91" spans="1:11" x14ac:dyDescent="0.3">
      <c r="A91" s="15">
        <v>87</v>
      </c>
      <c r="B91" s="15" t="s">
        <v>2745</v>
      </c>
      <c r="C91" s="15" t="s">
        <v>101</v>
      </c>
      <c r="D91" s="15" t="s">
        <v>2528</v>
      </c>
      <c r="E91" s="15" t="s">
        <v>2741</v>
      </c>
      <c r="F91" s="15" t="s">
        <v>875</v>
      </c>
      <c r="G91" s="15" t="str">
        <f>"32"</f>
        <v>32</v>
      </c>
      <c r="H91" s="15" t="str">
        <f>"31036"</f>
        <v>31036</v>
      </c>
      <c r="I91" s="15" t="s">
        <v>13</v>
      </c>
      <c r="J91" s="15" t="s">
        <v>927</v>
      </c>
      <c r="K91" s="15" t="s">
        <v>20</v>
      </c>
    </row>
    <row r="92" spans="1:11" x14ac:dyDescent="0.3">
      <c r="A92" s="15">
        <v>88</v>
      </c>
      <c r="B92" s="15" t="s">
        <v>2746</v>
      </c>
      <c r="C92" s="15" t="s">
        <v>1763</v>
      </c>
      <c r="D92" s="15" t="s">
        <v>2528</v>
      </c>
      <c r="E92" s="15" t="s">
        <v>2741</v>
      </c>
      <c r="F92" s="15" t="s">
        <v>2747</v>
      </c>
      <c r="G92" s="15" t="str">
        <f>"27/A"</f>
        <v>27/A</v>
      </c>
      <c r="H92" s="15" t="str">
        <f>"31036"</f>
        <v>31036</v>
      </c>
      <c r="I92" s="15" t="s">
        <v>13</v>
      </c>
      <c r="J92" s="15" t="s">
        <v>927</v>
      </c>
      <c r="K92" s="15" t="s">
        <v>14</v>
      </c>
    </row>
    <row r="93" spans="1:11" x14ac:dyDescent="0.3">
      <c r="A93" s="3">
        <v>89</v>
      </c>
      <c r="B93" s="3" t="s">
        <v>2748</v>
      </c>
      <c r="C93" s="3" t="s">
        <v>2749</v>
      </c>
      <c r="D93" s="3" t="s">
        <v>2528</v>
      </c>
      <c r="E93" s="3" t="s">
        <v>2750</v>
      </c>
      <c r="F93" s="3" t="s">
        <v>2751</v>
      </c>
      <c r="G93" s="3" t="str">
        <f>"19"</f>
        <v>19</v>
      </c>
      <c r="H93" s="3" t="str">
        <f>"31010"</f>
        <v>31010</v>
      </c>
      <c r="I93" s="3" t="s">
        <v>13</v>
      </c>
      <c r="J93" s="3" t="s">
        <v>925</v>
      </c>
      <c r="K93" s="3" t="s">
        <v>43</v>
      </c>
    </row>
    <row r="94" spans="1:11" x14ac:dyDescent="0.3">
      <c r="A94" s="4">
        <v>90</v>
      </c>
      <c r="B94" s="4" t="s">
        <v>2752</v>
      </c>
      <c r="C94" s="4" t="s">
        <v>2753</v>
      </c>
      <c r="D94" s="4" t="s">
        <v>2528</v>
      </c>
      <c r="E94" s="4" t="s">
        <v>2750</v>
      </c>
      <c r="F94" s="4" t="s">
        <v>2754</v>
      </c>
      <c r="G94" s="4" t="str">
        <f>"1"</f>
        <v>1</v>
      </c>
      <c r="H94" s="4" t="str">
        <f>"31010"</f>
        <v>31010</v>
      </c>
      <c r="I94" s="4" t="s">
        <v>13</v>
      </c>
      <c r="J94" s="4" t="s">
        <v>926</v>
      </c>
      <c r="K94" s="4" t="s">
        <v>2755</v>
      </c>
    </row>
    <row r="95" spans="1:11" x14ac:dyDescent="0.3">
      <c r="A95" s="4">
        <v>91</v>
      </c>
      <c r="B95" s="4" t="s">
        <v>2756</v>
      </c>
      <c r="C95" s="4" t="s">
        <v>2757</v>
      </c>
      <c r="D95" s="4" t="s">
        <v>2528</v>
      </c>
      <c r="E95" s="4" t="s">
        <v>2758</v>
      </c>
      <c r="F95" s="4" t="s">
        <v>2759</v>
      </c>
      <c r="G95" s="4" t="str">
        <f>"9"</f>
        <v>9</v>
      </c>
      <c r="H95" s="4" t="str">
        <f t="shared" ref="H95:H108" si="3">"31021"</f>
        <v>31021</v>
      </c>
      <c r="I95" s="4" t="s">
        <v>13</v>
      </c>
      <c r="J95" s="4" t="s">
        <v>926</v>
      </c>
      <c r="K95" s="4" t="s">
        <v>224</v>
      </c>
    </row>
    <row r="96" spans="1:11" x14ac:dyDescent="0.3">
      <c r="A96" s="15">
        <v>92</v>
      </c>
      <c r="B96" s="15" t="s">
        <v>2760</v>
      </c>
      <c r="C96" s="15" t="s">
        <v>2761</v>
      </c>
      <c r="D96" s="15" t="s">
        <v>2528</v>
      </c>
      <c r="E96" s="15" t="s">
        <v>2758</v>
      </c>
      <c r="F96" s="15" t="s">
        <v>2578</v>
      </c>
      <c r="G96" s="15" t="str">
        <f>"SNC"</f>
        <v>SNC</v>
      </c>
      <c r="H96" s="15" t="str">
        <f t="shared" si="3"/>
        <v>31021</v>
      </c>
      <c r="I96" s="15" t="s">
        <v>13</v>
      </c>
      <c r="J96" s="15" t="s">
        <v>927</v>
      </c>
      <c r="K96" s="15" t="s">
        <v>20</v>
      </c>
    </row>
    <row r="97" spans="1:11" x14ac:dyDescent="0.3">
      <c r="A97" s="9">
        <v>93</v>
      </c>
      <c r="B97" s="9" t="s">
        <v>1265</v>
      </c>
      <c r="C97" s="9" t="s">
        <v>2762</v>
      </c>
      <c r="D97" s="9" t="s">
        <v>2528</v>
      </c>
      <c r="E97" s="9" t="s">
        <v>2758</v>
      </c>
      <c r="F97" s="9" t="s">
        <v>2763</v>
      </c>
      <c r="G97" s="9" t="str">
        <f>"14"</f>
        <v>14</v>
      </c>
      <c r="H97" s="9" t="str">
        <f t="shared" si="3"/>
        <v>31021</v>
      </c>
      <c r="I97" s="9" t="s">
        <v>13</v>
      </c>
      <c r="J97" s="9" t="s">
        <v>924</v>
      </c>
      <c r="K97" s="9" t="s">
        <v>14</v>
      </c>
    </row>
    <row r="98" spans="1:11" x14ac:dyDescent="0.3">
      <c r="A98" s="15">
        <v>94</v>
      </c>
      <c r="B98" s="15" t="s">
        <v>2764</v>
      </c>
      <c r="C98" s="15" t="s">
        <v>1712</v>
      </c>
      <c r="D98" s="15" t="s">
        <v>2528</v>
      </c>
      <c r="E98" s="15" t="s">
        <v>2758</v>
      </c>
      <c r="F98" s="15" t="s">
        <v>2765</v>
      </c>
      <c r="G98" s="15" t="str">
        <f>"162"</f>
        <v>162</v>
      </c>
      <c r="H98" s="15" t="str">
        <f t="shared" si="3"/>
        <v>31021</v>
      </c>
      <c r="I98" s="15" t="s">
        <v>13</v>
      </c>
      <c r="J98" s="15" t="s">
        <v>927</v>
      </c>
      <c r="K98" s="15" t="s">
        <v>14</v>
      </c>
    </row>
    <row r="99" spans="1:11" x14ac:dyDescent="0.3">
      <c r="A99" s="3">
        <v>95</v>
      </c>
      <c r="B99" s="3" t="s">
        <v>2766</v>
      </c>
      <c r="C99" s="3" t="s">
        <v>2767</v>
      </c>
      <c r="D99" s="3" t="s">
        <v>2528</v>
      </c>
      <c r="E99" s="3" t="s">
        <v>2758</v>
      </c>
      <c r="F99" s="3" t="s">
        <v>2768</v>
      </c>
      <c r="G99" s="3" t="str">
        <f>"28"</f>
        <v>28</v>
      </c>
      <c r="H99" s="3" t="str">
        <f t="shared" si="3"/>
        <v>31021</v>
      </c>
      <c r="I99" s="3" t="s">
        <v>13</v>
      </c>
      <c r="J99" s="3" t="s">
        <v>925</v>
      </c>
      <c r="K99" s="3" t="s">
        <v>20</v>
      </c>
    </row>
    <row r="100" spans="1:11" x14ac:dyDescent="0.3">
      <c r="A100" s="4">
        <v>96</v>
      </c>
      <c r="B100" s="4" t="s">
        <v>2769</v>
      </c>
      <c r="C100" s="4" t="s">
        <v>2770</v>
      </c>
      <c r="D100" s="4" t="s">
        <v>2528</v>
      </c>
      <c r="E100" s="4" t="s">
        <v>2758</v>
      </c>
      <c r="F100" s="4" t="s">
        <v>2771</v>
      </c>
      <c r="G100" s="4" t="str">
        <f>"3"</f>
        <v>3</v>
      </c>
      <c r="H100" s="4" t="str">
        <f t="shared" si="3"/>
        <v>31021</v>
      </c>
      <c r="I100" s="4" t="s">
        <v>13</v>
      </c>
      <c r="J100" s="4" t="s">
        <v>926</v>
      </c>
      <c r="K100" s="4" t="s">
        <v>224</v>
      </c>
    </row>
    <row r="101" spans="1:11" x14ac:dyDescent="0.3">
      <c r="A101" s="3">
        <v>97</v>
      </c>
      <c r="B101" s="3" t="s">
        <v>2772</v>
      </c>
      <c r="C101" s="3" t="s">
        <v>170</v>
      </c>
      <c r="D101" s="3" t="s">
        <v>2528</v>
      </c>
      <c r="E101" s="3" t="s">
        <v>2758</v>
      </c>
      <c r="F101" s="3" t="s">
        <v>171</v>
      </c>
      <c r="G101" s="3" t="str">
        <f>"13"</f>
        <v>13</v>
      </c>
      <c r="H101" s="3" t="str">
        <f t="shared" si="3"/>
        <v>31021</v>
      </c>
      <c r="I101" s="3" t="s">
        <v>13</v>
      </c>
      <c r="J101" s="3" t="s">
        <v>925</v>
      </c>
      <c r="K101" s="3" t="s">
        <v>2773</v>
      </c>
    </row>
    <row r="102" spans="1:11" x14ac:dyDescent="0.3">
      <c r="A102" s="4">
        <v>98</v>
      </c>
      <c r="B102" s="4" t="s">
        <v>2774</v>
      </c>
      <c r="C102" s="4" t="s">
        <v>2775</v>
      </c>
      <c r="D102" s="4" t="s">
        <v>2528</v>
      </c>
      <c r="E102" s="4" t="s">
        <v>2758</v>
      </c>
      <c r="F102" s="4" t="s">
        <v>2578</v>
      </c>
      <c r="G102" s="4" t="str">
        <f>"117"</f>
        <v>117</v>
      </c>
      <c r="H102" s="4" t="str">
        <f t="shared" si="3"/>
        <v>31021</v>
      </c>
      <c r="I102" s="4" t="s">
        <v>13</v>
      </c>
      <c r="J102" s="4" t="s">
        <v>926</v>
      </c>
      <c r="K102" s="4" t="s">
        <v>58</v>
      </c>
    </row>
    <row r="103" spans="1:11" x14ac:dyDescent="0.3">
      <c r="A103" s="15">
        <v>99</v>
      </c>
      <c r="B103" s="15" t="s">
        <v>1010</v>
      </c>
      <c r="C103" s="15" t="s">
        <v>110</v>
      </c>
      <c r="D103" s="15" t="s">
        <v>2528</v>
      </c>
      <c r="E103" s="15" t="s">
        <v>2758</v>
      </c>
      <c r="F103" s="15" t="s">
        <v>2768</v>
      </c>
      <c r="G103" s="15" t="str">
        <f>"31"</f>
        <v>31</v>
      </c>
      <c r="H103" s="15" t="str">
        <f t="shared" si="3"/>
        <v>31021</v>
      </c>
      <c r="I103" s="15" t="s">
        <v>13</v>
      </c>
      <c r="J103" s="15" t="s">
        <v>927</v>
      </c>
      <c r="K103" s="15" t="s">
        <v>14</v>
      </c>
    </row>
    <row r="104" spans="1:11" x14ac:dyDescent="0.3">
      <c r="A104" s="16">
        <v>100</v>
      </c>
      <c r="B104" s="16" t="s">
        <v>2776</v>
      </c>
      <c r="C104" s="16" t="s">
        <v>2777</v>
      </c>
      <c r="D104" s="16" t="s">
        <v>2528</v>
      </c>
      <c r="E104" s="16" t="s">
        <v>2758</v>
      </c>
      <c r="F104" s="16" t="s">
        <v>2778</v>
      </c>
      <c r="G104" s="16" t="str">
        <f>"2"</f>
        <v>2</v>
      </c>
      <c r="H104" s="16" t="str">
        <f t="shared" si="3"/>
        <v>31021</v>
      </c>
      <c r="I104" s="16" t="s">
        <v>13</v>
      </c>
      <c r="J104" s="16" t="s">
        <v>928</v>
      </c>
      <c r="K104" s="16" t="s">
        <v>43</v>
      </c>
    </row>
    <row r="105" spans="1:11" x14ac:dyDescent="0.3">
      <c r="A105" s="3">
        <v>101</v>
      </c>
      <c r="B105" s="3" t="s">
        <v>2776</v>
      </c>
      <c r="C105" s="3" t="s">
        <v>2779</v>
      </c>
      <c r="D105" s="3" t="s">
        <v>2528</v>
      </c>
      <c r="E105" s="3" t="s">
        <v>2758</v>
      </c>
      <c r="F105" s="3" t="s">
        <v>186</v>
      </c>
      <c r="G105" s="3" t="str">
        <f>"54"</f>
        <v>54</v>
      </c>
      <c r="H105" s="3" t="str">
        <f t="shared" si="3"/>
        <v>31021</v>
      </c>
      <c r="I105" s="3" t="s">
        <v>13</v>
      </c>
      <c r="J105" s="3" t="s">
        <v>925</v>
      </c>
      <c r="K105" s="3" t="s">
        <v>14</v>
      </c>
    </row>
    <row r="106" spans="1:11" x14ac:dyDescent="0.3">
      <c r="A106" s="15">
        <v>102</v>
      </c>
      <c r="B106" s="15" t="s">
        <v>2619</v>
      </c>
      <c r="C106" s="15" t="s">
        <v>2620</v>
      </c>
      <c r="D106" s="15" t="s">
        <v>2528</v>
      </c>
      <c r="E106" s="15" t="s">
        <v>2758</v>
      </c>
      <c r="F106" s="15" t="s">
        <v>2780</v>
      </c>
      <c r="G106" s="15" t="str">
        <f>"SNC"</f>
        <v>SNC</v>
      </c>
      <c r="H106" s="15" t="str">
        <f t="shared" si="3"/>
        <v>31021</v>
      </c>
      <c r="I106" s="15" t="s">
        <v>13</v>
      </c>
      <c r="J106" s="15" t="s">
        <v>927</v>
      </c>
      <c r="K106" s="15" t="s">
        <v>14</v>
      </c>
    </row>
    <row r="107" spans="1:11" x14ac:dyDescent="0.3">
      <c r="A107" s="15">
        <v>103</v>
      </c>
      <c r="B107" s="15" t="s">
        <v>2619</v>
      </c>
      <c r="C107" s="15" t="s">
        <v>2620</v>
      </c>
      <c r="D107" s="15" t="s">
        <v>2528</v>
      </c>
      <c r="E107" s="15" t="s">
        <v>2758</v>
      </c>
      <c r="F107" s="15" t="s">
        <v>2778</v>
      </c>
      <c r="G107" s="15" t="str">
        <f>"41"</f>
        <v>41</v>
      </c>
      <c r="H107" s="15" t="str">
        <f t="shared" si="3"/>
        <v>31021</v>
      </c>
      <c r="I107" s="15" t="s">
        <v>13</v>
      </c>
      <c r="J107" s="15" t="s">
        <v>927</v>
      </c>
      <c r="K107" s="15" t="s">
        <v>20</v>
      </c>
    </row>
    <row r="108" spans="1:11" x14ac:dyDescent="0.3">
      <c r="A108" s="15">
        <v>104</v>
      </c>
      <c r="B108" s="15" t="s">
        <v>2781</v>
      </c>
      <c r="C108" s="15" t="s">
        <v>2781</v>
      </c>
      <c r="D108" s="15" t="s">
        <v>2528</v>
      </c>
      <c r="E108" s="15" t="s">
        <v>2758</v>
      </c>
      <c r="F108" s="15" t="s">
        <v>2782</v>
      </c>
      <c r="G108" s="15" t="str">
        <f>"42"</f>
        <v>42</v>
      </c>
      <c r="H108" s="15" t="str">
        <f t="shared" si="3"/>
        <v>31021</v>
      </c>
      <c r="I108" s="15" t="s">
        <v>13</v>
      </c>
      <c r="J108" s="15" t="s">
        <v>927</v>
      </c>
      <c r="K108" s="15" t="s">
        <v>241</v>
      </c>
    </row>
    <row r="109" spans="1:11" x14ac:dyDescent="0.3">
      <c r="A109" s="15">
        <v>105</v>
      </c>
      <c r="B109" s="15" t="s">
        <v>931</v>
      </c>
      <c r="C109" s="15" t="s">
        <v>9</v>
      </c>
      <c r="D109" s="15" t="s">
        <v>2528</v>
      </c>
      <c r="E109" s="15" t="s">
        <v>2783</v>
      </c>
      <c r="F109" s="15" t="s">
        <v>2784</v>
      </c>
      <c r="G109" s="15" t="str">
        <f>"SNC"</f>
        <v>SNC</v>
      </c>
      <c r="H109" s="15" t="str">
        <f t="shared" ref="H109:H130" si="4">"31044"</f>
        <v>31044</v>
      </c>
      <c r="I109" s="15" t="s">
        <v>13</v>
      </c>
      <c r="J109" s="15" t="s">
        <v>927</v>
      </c>
      <c r="K109" s="15" t="s">
        <v>14</v>
      </c>
    </row>
    <row r="110" spans="1:11" x14ac:dyDescent="0.3">
      <c r="A110" s="4">
        <v>106</v>
      </c>
      <c r="B110" s="4" t="s">
        <v>2785</v>
      </c>
      <c r="C110" s="4" t="s">
        <v>2786</v>
      </c>
      <c r="D110" s="4" t="s">
        <v>2528</v>
      </c>
      <c r="E110" s="4" t="s">
        <v>2783</v>
      </c>
      <c r="F110" s="4" t="s">
        <v>2787</v>
      </c>
      <c r="G110" s="4" t="str">
        <f>"25"</f>
        <v>25</v>
      </c>
      <c r="H110" s="4" t="str">
        <f t="shared" si="4"/>
        <v>31044</v>
      </c>
      <c r="I110" s="4" t="s">
        <v>13</v>
      </c>
      <c r="J110" s="4" t="s">
        <v>926</v>
      </c>
      <c r="K110" s="4" t="s">
        <v>36</v>
      </c>
    </row>
    <row r="111" spans="1:11" x14ac:dyDescent="0.3">
      <c r="A111" s="16">
        <v>107</v>
      </c>
      <c r="B111" s="16" t="s">
        <v>2788</v>
      </c>
      <c r="C111" s="16" t="s">
        <v>2789</v>
      </c>
      <c r="D111" s="16" t="s">
        <v>2528</v>
      </c>
      <c r="E111" s="16" t="s">
        <v>2783</v>
      </c>
      <c r="F111" s="16" t="s">
        <v>2790</v>
      </c>
      <c r="G111" s="16" t="str">
        <f>"2"</f>
        <v>2</v>
      </c>
      <c r="H111" s="16" t="str">
        <f t="shared" si="4"/>
        <v>31044</v>
      </c>
      <c r="I111" s="16" t="s">
        <v>13</v>
      </c>
      <c r="J111" s="16" t="s">
        <v>928</v>
      </c>
      <c r="K111" s="16" t="s">
        <v>205</v>
      </c>
    </row>
    <row r="112" spans="1:11" x14ac:dyDescent="0.3">
      <c r="A112" s="4">
        <v>108</v>
      </c>
      <c r="B112" s="4" t="s">
        <v>2791</v>
      </c>
      <c r="C112" s="4" t="s">
        <v>2792</v>
      </c>
      <c r="D112" s="4" t="s">
        <v>2528</v>
      </c>
      <c r="E112" s="4" t="s">
        <v>2783</v>
      </c>
      <c r="F112" s="4" t="s">
        <v>889</v>
      </c>
      <c r="G112" s="4" t="str">
        <f>"13"</f>
        <v>13</v>
      </c>
      <c r="H112" s="4" t="str">
        <f t="shared" si="4"/>
        <v>31044</v>
      </c>
      <c r="I112" s="4" t="s">
        <v>13</v>
      </c>
      <c r="J112" s="4" t="s">
        <v>926</v>
      </c>
      <c r="K112" s="4" t="s">
        <v>14</v>
      </c>
    </row>
    <row r="113" spans="1:11" x14ac:dyDescent="0.3">
      <c r="A113" s="15">
        <v>109</v>
      </c>
      <c r="B113" s="15" t="s">
        <v>2591</v>
      </c>
      <c r="C113" s="15" t="s">
        <v>2793</v>
      </c>
      <c r="D113" s="15" t="s">
        <v>2528</v>
      </c>
      <c r="E113" s="15" t="s">
        <v>2783</v>
      </c>
      <c r="F113" s="15" t="s">
        <v>2595</v>
      </c>
      <c r="G113" s="15" t="str">
        <f>"155"</f>
        <v>155</v>
      </c>
      <c r="H113" s="15" t="str">
        <f t="shared" si="4"/>
        <v>31044</v>
      </c>
      <c r="I113" s="15" t="s">
        <v>13</v>
      </c>
      <c r="J113" s="15" t="s">
        <v>927</v>
      </c>
      <c r="K113" s="15" t="s">
        <v>30</v>
      </c>
    </row>
    <row r="114" spans="1:11" x14ac:dyDescent="0.3">
      <c r="A114" s="4">
        <v>110</v>
      </c>
      <c r="B114" s="4" t="s">
        <v>2794</v>
      </c>
      <c r="C114" s="4" t="s">
        <v>2795</v>
      </c>
      <c r="D114" s="4" t="s">
        <v>2528</v>
      </c>
      <c r="E114" s="4" t="s">
        <v>2783</v>
      </c>
      <c r="F114" s="4" t="s">
        <v>2796</v>
      </c>
      <c r="G114" s="4" t="str">
        <f>"16"</f>
        <v>16</v>
      </c>
      <c r="H114" s="4" t="str">
        <f t="shared" si="4"/>
        <v>31044</v>
      </c>
      <c r="I114" s="4" t="s">
        <v>13</v>
      </c>
      <c r="J114" s="4" t="s">
        <v>926</v>
      </c>
      <c r="K114" s="4" t="s">
        <v>165</v>
      </c>
    </row>
    <row r="115" spans="1:11" x14ac:dyDescent="0.3">
      <c r="A115" s="3">
        <v>111</v>
      </c>
      <c r="B115" s="3" t="s">
        <v>2797</v>
      </c>
      <c r="C115" s="3" t="s">
        <v>2798</v>
      </c>
      <c r="D115" s="3" t="s">
        <v>2528</v>
      </c>
      <c r="E115" s="3" t="s">
        <v>2783</v>
      </c>
      <c r="F115" s="3" t="s">
        <v>865</v>
      </c>
      <c r="G115" s="3" t="str">
        <f>"10"</f>
        <v>10</v>
      </c>
      <c r="H115" s="3" t="str">
        <f t="shared" si="4"/>
        <v>31044</v>
      </c>
      <c r="I115" s="3" t="s">
        <v>13</v>
      </c>
      <c r="J115" s="3" t="s">
        <v>925</v>
      </c>
      <c r="K115" s="3" t="s">
        <v>58</v>
      </c>
    </row>
    <row r="116" spans="1:11" x14ac:dyDescent="0.3">
      <c r="A116" s="15">
        <v>112</v>
      </c>
      <c r="B116" s="15" t="s">
        <v>2799</v>
      </c>
      <c r="C116" s="15" t="s">
        <v>1763</v>
      </c>
      <c r="D116" s="15" t="s">
        <v>2528</v>
      </c>
      <c r="E116" s="15" t="s">
        <v>2783</v>
      </c>
      <c r="F116" s="15" t="s">
        <v>1833</v>
      </c>
      <c r="G116" s="15" t="str">
        <f>"80"</f>
        <v>80</v>
      </c>
      <c r="H116" s="15" t="str">
        <f t="shared" si="4"/>
        <v>31044</v>
      </c>
      <c r="I116" s="15" t="s">
        <v>13</v>
      </c>
      <c r="J116" s="15" t="s">
        <v>927</v>
      </c>
      <c r="K116" s="15" t="s">
        <v>224</v>
      </c>
    </row>
    <row r="117" spans="1:11" x14ac:dyDescent="0.3">
      <c r="A117" s="3">
        <v>113</v>
      </c>
      <c r="B117" s="3" t="s">
        <v>1372</v>
      </c>
      <c r="C117" s="3" t="s">
        <v>2800</v>
      </c>
      <c r="D117" s="3" t="s">
        <v>2528</v>
      </c>
      <c r="E117" s="3" t="s">
        <v>2783</v>
      </c>
      <c r="F117" s="3" t="s">
        <v>2801</v>
      </c>
      <c r="G117" s="3" t="str">
        <f>"1"</f>
        <v>1</v>
      </c>
      <c r="H117" s="3" t="str">
        <f t="shared" si="4"/>
        <v>31044</v>
      </c>
      <c r="I117" s="3" t="s">
        <v>13</v>
      </c>
      <c r="J117" s="3" t="s">
        <v>925</v>
      </c>
      <c r="K117" s="3" t="s">
        <v>14</v>
      </c>
    </row>
    <row r="118" spans="1:11" x14ac:dyDescent="0.3">
      <c r="A118" s="4">
        <v>114</v>
      </c>
      <c r="B118" s="4" t="s">
        <v>2802</v>
      </c>
      <c r="C118" s="4" t="s">
        <v>2803</v>
      </c>
      <c r="D118" s="4" t="s">
        <v>2528</v>
      </c>
      <c r="E118" s="4" t="s">
        <v>2783</v>
      </c>
      <c r="F118" s="4" t="s">
        <v>2423</v>
      </c>
      <c r="G118" s="4" t="str">
        <f>"23"</f>
        <v>23</v>
      </c>
      <c r="H118" s="4" t="str">
        <f t="shared" si="4"/>
        <v>31044</v>
      </c>
      <c r="I118" s="4" t="s">
        <v>13</v>
      </c>
      <c r="J118" s="4" t="s">
        <v>926</v>
      </c>
      <c r="K118" s="4" t="s">
        <v>224</v>
      </c>
    </row>
    <row r="119" spans="1:11" x14ac:dyDescent="0.3">
      <c r="A119" s="3">
        <v>115</v>
      </c>
      <c r="B119" s="3" t="s">
        <v>2804</v>
      </c>
      <c r="C119" s="3" t="s">
        <v>2805</v>
      </c>
      <c r="D119" s="3" t="s">
        <v>2528</v>
      </c>
      <c r="E119" s="3" t="s">
        <v>2783</v>
      </c>
      <c r="F119" s="3" t="s">
        <v>2806</v>
      </c>
      <c r="G119" s="3" t="str">
        <f>"78"</f>
        <v>78</v>
      </c>
      <c r="H119" s="3" t="str">
        <f t="shared" si="4"/>
        <v>31044</v>
      </c>
      <c r="I119" s="3" t="s">
        <v>13</v>
      </c>
      <c r="J119" s="3" t="s">
        <v>925</v>
      </c>
      <c r="K119" s="3" t="s">
        <v>200</v>
      </c>
    </row>
    <row r="120" spans="1:11" x14ac:dyDescent="0.3">
      <c r="A120" s="3">
        <v>116</v>
      </c>
      <c r="B120" s="3" t="s">
        <v>2807</v>
      </c>
      <c r="C120" s="3" t="s">
        <v>2808</v>
      </c>
      <c r="D120" s="3" t="s">
        <v>2528</v>
      </c>
      <c r="E120" s="3" t="s">
        <v>2783</v>
      </c>
      <c r="F120" s="3" t="s">
        <v>2130</v>
      </c>
      <c r="G120" s="3" t="str">
        <f>"108"</f>
        <v>108</v>
      </c>
      <c r="H120" s="3" t="str">
        <f t="shared" si="4"/>
        <v>31044</v>
      </c>
      <c r="I120" s="3" t="s">
        <v>13</v>
      </c>
      <c r="J120" s="3" t="s">
        <v>925</v>
      </c>
      <c r="K120" s="3" t="s">
        <v>58</v>
      </c>
    </row>
    <row r="121" spans="1:11" x14ac:dyDescent="0.3">
      <c r="A121" s="16">
        <v>117</v>
      </c>
      <c r="B121" s="16" t="s">
        <v>2809</v>
      </c>
      <c r="C121" s="16" t="s">
        <v>2810</v>
      </c>
      <c r="D121" s="16" t="s">
        <v>2528</v>
      </c>
      <c r="E121" s="16" t="s">
        <v>2783</v>
      </c>
      <c r="F121" s="16" t="s">
        <v>2811</v>
      </c>
      <c r="G121" s="16" t="str">
        <f>"158"</f>
        <v>158</v>
      </c>
      <c r="H121" s="16" t="str">
        <f t="shared" si="4"/>
        <v>31044</v>
      </c>
      <c r="I121" s="16" t="s">
        <v>13</v>
      </c>
      <c r="J121" s="16" t="s">
        <v>928</v>
      </c>
      <c r="K121" s="16" t="s">
        <v>43</v>
      </c>
    </row>
    <row r="122" spans="1:11" x14ac:dyDescent="0.3">
      <c r="A122" s="3">
        <v>118</v>
      </c>
      <c r="B122" s="3" t="s">
        <v>2812</v>
      </c>
      <c r="C122" s="3" t="s">
        <v>2813</v>
      </c>
      <c r="D122" s="3" t="s">
        <v>2528</v>
      </c>
      <c r="E122" s="3" t="s">
        <v>2783</v>
      </c>
      <c r="F122" s="3" t="s">
        <v>2814</v>
      </c>
      <c r="G122" s="3" t="str">
        <f>"82"</f>
        <v>82</v>
      </c>
      <c r="H122" s="3" t="str">
        <f t="shared" si="4"/>
        <v>31044</v>
      </c>
      <c r="I122" s="3" t="s">
        <v>13</v>
      </c>
      <c r="J122" s="3" t="s">
        <v>925</v>
      </c>
      <c r="K122" s="3" t="s">
        <v>224</v>
      </c>
    </row>
    <row r="123" spans="1:11" x14ac:dyDescent="0.3">
      <c r="A123" s="3">
        <v>119</v>
      </c>
      <c r="B123" s="3" t="s">
        <v>2815</v>
      </c>
      <c r="C123" s="3" t="s">
        <v>2816</v>
      </c>
      <c r="D123" s="3" t="s">
        <v>2528</v>
      </c>
      <c r="E123" s="3" t="s">
        <v>2783</v>
      </c>
      <c r="F123" s="3" t="s">
        <v>2817</v>
      </c>
      <c r="G123" s="3" t="str">
        <f>"9"</f>
        <v>9</v>
      </c>
      <c r="H123" s="3" t="str">
        <f t="shared" si="4"/>
        <v>31044</v>
      </c>
      <c r="I123" s="3" t="s">
        <v>13</v>
      </c>
      <c r="J123" s="3" t="s">
        <v>925</v>
      </c>
      <c r="K123" s="3" t="s">
        <v>235</v>
      </c>
    </row>
    <row r="124" spans="1:11" x14ac:dyDescent="0.3">
      <c r="A124" s="3">
        <v>120</v>
      </c>
      <c r="B124" s="3" t="s">
        <v>2818</v>
      </c>
      <c r="C124" s="3" t="s">
        <v>2819</v>
      </c>
      <c r="D124" s="3" t="s">
        <v>2528</v>
      </c>
      <c r="E124" s="3" t="s">
        <v>2783</v>
      </c>
      <c r="F124" s="3" t="s">
        <v>2784</v>
      </c>
      <c r="G124" s="3" t="str">
        <f>"96"</f>
        <v>96</v>
      </c>
      <c r="H124" s="3" t="str">
        <f t="shared" si="4"/>
        <v>31044</v>
      </c>
      <c r="I124" s="3" t="s">
        <v>13</v>
      </c>
      <c r="J124" s="3" t="s">
        <v>925</v>
      </c>
      <c r="K124" s="3" t="s">
        <v>235</v>
      </c>
    </row>
    <row r="125" spans="1:11" x14ac:dyDescent="0.3">
      <c r="A125" s="3">
        <v>121</v>
      </c>
      <c r="B125" s="3" t="s">
        <v>2820</v>
      </c>
      <c r="C125" s="3" t="s">
        <v>2821</v>
      </c>
      <c r="D125" s="3" t="s">
        <v>2528</v>
      </c>
      <c r="E125" s="3" t="s">
        <v>2783</v>
      </c>
      <c r="F125" s="3" t="s">
        <v>1833</v>
      </c>
      <c r="G125" s="3" t="str">
        <f>"127"</f>
        <v>127</v>
      </c>
      <c r="H125" s="3" t="str">
        <f t="shared" si="4"/>
        <v>31044</v>
      </c>
      <c r="I125" s="3" t="s">
        <v>13</v>
      </c>
      <c r="J125" s="3" t="s">
        <v>925</v>
      </c>
      <c r="K125" s="3" t="s">
        <v>20</v>
      </c>
    </row>
    <row r="126" spans="1:11" x14ac:dyDescent="0.3">
      <c r="A126" s="15">
        <v>122</v>
      </c>
      <c r="B126" s="15" t="s">
        <v>2822</v>
      </c>
      <c r="C126" s="15" t="s">
        <v>2823</v>
      </c>
      <c r="D126" s="15" t="s">
        <v>2528</v>
      </c>
      <c r="E126" s="15" t="s">
        <v>2783</v>
      </c>
      <c r="F126" s="15" t="s">
        <v>2824</v>
      </c>
      <c r="G126" s="15" t="str">
        <f>"16"</f>
        <v>16</v>
      </c>
      <c r="H126" s="15" t="str">
        <f t="shared" si="4"/>
        <v>31044</v>
      </c>
      <c r="I126" s="15" t="s">
        <v>13</v>
      </c>
      <c r="J126" s="15" t="s">
        <v>927</v>
      </c>
      <c r="K126" s="15" t="s">
        <v>14</v>
      </c>
    </row>
    <row r="127" spans="1:11" x14ac:dyDescent="0.3">
      <c r="A127" s="15">
        <v>123</v>
      </c>
      <c r="B127" s="15" t="s">
        <v>2619</v>
      </c>
      <c r="C127" s="15" t="s">
        <v>2620</v>
      </c>
      <c r="D127" s="15" t="s">
        <v>2528</v>
      </c>
      <c r="E127" s="15" t="s">
        <v>2783</v>
      </c>
      <c r="F127" s="15" t="s">
        <v>2825</v>
      </c>
      <c r="G127" s="15" t="str">
        <f>"5"</f>
        <v>5</v>
      </c>
      <c r="H127" s="15" t="str">
        <f t="shared" si="4"/>
        <v>31044</v>
      </c>
      <c r="I127" s="15" t="s">
        <v>13</v>
      </c>
      <c r="J127" s="15" t="s">
        <v>927</v>
      </c>
      <c r="K127" s="15" t="s">
        <v>20</v>
      </c>
    </row>
    <row r="128" spans="1:11" x14ac:dyDescent="0.3">
      <c r="A128" s="4">
        <v>124</v>
      </c>
      <c r="B128" s="4" t="s">
        <v>2826</v>
      </c>
      <c r="C128" s="4" t="s">
        <v>2827</v>
      </c>
      <c r="D128" s="4" t="s">
        <v>2528</v>
      </c>
      <c r="E128" s="4" t="s">
        <v>2783</v>
      </c>
      <c r="F128" s="4" t="s">
        <v>2828</v>
      </c>
      <c r="G128" s="4" t="str">
        <f>"23"</f>
        <v>23</v>
      </c>
      <c r="H128" s="4" t="str">
        <f t="shared" si="4"/>
        <v>31044</v>
      </c>
      <c r="I128" s="4" t="s">
        <v>13</v>
      </c>
      <c r="J128" s="4" t="s">
        <v>926</v>
      </c>
      <c r="K128" s="4" t="s">
        <v>14</v>
      </c>
    </row>
    <row r="129" spans="1:11" x14ac:dyDescent="0.3">
      <c r="A129" s="15">
        <v>125</v>
      </c>
      <c r="B129" s="15" t="s">
        <v>2273</v>
      </c>
      <c r="C129" s="15" t="s">
        <v>2829</v>
      </c>
      <c r="D129" s="15" t="s">
        <v>2528</v>
      </c>
      <c r="E129" s="15" t="s">
        <v>2783</v>
      </c>
      <c r="F129" s="15" t="s">
        <v>2088</v>
      </c>
      <c r="G129" s="15" t="str">
        <f>"102"</f>
        <v>102</v>
      </c>
      <c r="H129" s="15" t="str">
        <f t="shared" si="4"/>
        <v>31044</v>
      </c>
      <c r="I129" s="15" t="s">
        <v>13</v>
      </c>
      <c r="J129" s="15" t="s">
        <v>927</v>
      </c>
      <c r="K129" s="15" t="s">
        <v>14</v>
      </c>
    </row>
    <row r="130" spans="1:11" x14ac:dyDescent="0.3">
      <c r="A130" s="3">
        <v>126</v>
      </c>
      <c r="B130" s="3" t="s">
        <v>2830</v>
      </c>
      <c r="C130" s="3" t="s">
        <v>2831</v>
      </c>
      <c r="D130" s="3" t="s">
        <v>2528</v>
      </c>
      <c r="E130" s="3" t="s">
        <v>2783</v>
      </c>
      <c r="F130" s="3" t="s">
        <v>2832</v>
      </c>
      <c r="G130" s="3" t="str">
        <f>"6"</f>
        <v>6</v>
      </c>
      <c r="H130" s="3" t="str">
        <f t="shared" si="4"/>
        <v>31044</v>
      </c>
      <c r="I130" s="3" t="s">
        <v>13</v>
      </c>
      <c r="J130" s="3" t="s">
        <v>925</v>
      </c>
      <c r="K130" s="3" t="s">
        <v>2833</v>
      </c>
    </row>
    <row r="131" spans="1:11" x14ac:dyDescent="0.3">
      <c r="A131" s="15">
        <v>127</v>
      </c>
      <c r="B131" s="15" t="s">
        <v>931</v>
      </c>
      <c r="C131" s="15" t="s">
        <v>54</v>
      </c>
      <c r="D131" s="15" t="s">
        <v>2528</v>
      </c>
      <c r="E131" s="15" t="s">
        <v>2834</v>
      </c>
      <c r="F131" s="15" t="s">
        <v>1964</v>
      </c>
      <c r="G131" s="15" t="str">
        <f>"11"</f>
        <v>11</v>
      </c>
      <c r="H131" s="15" t="str">
        <f>"31045"</f>
        <v>31045</v>
      </c>
      <c r="I131" s="15" t="s">
        <v>13</v>
      </c>
      <c r="J131" s="15" t="s">
        <v>927</v>
      </c>
      <c r="K131" s="15" t="s">
        <v>14</v>
      </c>
    </row>
    <row r="132" spans="1:11" x14ac:dyDescent="0.3">
      <c r="A132" s="3">
        <v>128</v>
      </c>
      <c r="B132" s="3" t="s">
        <v>2835</v>
      </c>
      <c r="C132" s="3" t="s">
        <v>2836</v>
      </c>
      <c r="D132" s="3" t="s">
        <v>2528</v>
      </c>
      <c r="E132" s="3" t="s">
        <v>2834</v>
      </c>
      <c r="F132" s="3" t="s">
        <v>2837</v>
      </c>
      <c r="G132" s="3" t="str">
        <f>"5"</f>
        <v>5</v>
      </c>
      <c r="H132" s="3" t="str">
        <f>"31045"</f>
        <v>31045</v>
      </c>
      <c r="I132" s="3" t="s">
        <v>13</v>
      </c>
      <c r="J132" s="3" t="s">
        <v>925</v>
      </c>
      <c r="K132" s="3" t="s">
        <v>14</v>
      </c>
    </row>
    <row r="133" spans="1:11" x14ac:dyDescent="0.3">
      <c r="A133" s="3">
        <v>129</v>
      </c>
      <c r="B133" s="3" t="s">
        <v>2838</v>
      </c>
      <c r="C133" s="3" t="s">
        <v>2839</v>
      </c>
      <c r="D133" s="3" t="s">
        <v>2528</v>
      </c>
      <c r="E133" s="3" t="s">
        <v>2834</v>
      </c>
      <c r="F133" s="3" t="s">
        <v>2840</v>
      </c>
      <c r="G133" s="3" t="str">
        <f>"30"</f>
        <v>30</v>
      </c>
      <c r="H133" s="3" t="str">
        <f>"31045"</f>
        <v>31045</v>
      </c>
      <c r="I133" s="3" t="s">
        <v>13</v>
      </c>
      <c r="J133" s="3" t="s">
        <v>925</v>
      </c>
      <c r="K133" s="3" t="s">
        <v>488</v>
      </c>
    </row>
    <row r="134" spans="1:11" x14ac:dyDescent="0.3">
      <c r="A134" s="4">
        <v>130</v>
      </c>
      <c r="B134" s="4" t="s">
        <v>2841</v>
      </c>
      <c r="C134" s="4" t="s">
        <v>2842</v>
      </c>
      <c r="D134" s="4" t="s">
        <v>2528</v>
      </c>
      <c r="E134" s="4" t="s">
        <v>2834</v>
      </c>
      <c r="F134" s="4" t="s">
        <v>2843</v>
      </c>
      <c r="G134" s="4" t="str">
        <f>"1"</f>
        <v>1</v>
      </c>
      <c r="H134" s="4" t="str">
        <f>"31045"</f>
        <v>31045</v>
      </c>
      <c r="I134" s="4" t="s">
        <v>13</v>
      </c>
      <c r="J134" s="4" t="s">
        <v>926</v>
      </c>
      <c r="K134" s="4" t="s">
        <v>224</v>
      </c>
    </row>
    <row r="135" spans="1:11" x14ac:dyDescent="0.3">
      <c r="A135" s="3">
        <v>131</v>
      </c>
      <c r="B135" s="3" t="s">
        <v>2844</v>
      </c>
      <c r="C135" s="3" t="s">
        <v>2845</v>
      </c>
      <c r="D135" s="3" t="s">
        <v>2528</v>
      </c>
      <c r="E135" s="3" t="s">
        <v>2834</v>
      </c>
      <c r="F135" s="3" t="s">
        <v>2846</v>
      </c>
      <c r="G135" s="3" t="str">
        <f>"2"</f>
        <v>2</v>
      </c>
      <c r="H135" s="3" t="str">
        <f>"31045"</f>
        <v>31045</v>
      </c>
      <c r="I135" s="3" t="s">
        <v>13</v>
      </c>
      <c r="J135" s="3" t="s">
        <v>925</v>
      </c>
      <c r="K135" s="3" t="s">
        <v>43</v>
      </c>
    </row>
    <row r="136" spans="1:11" x14ac:dyDescent="0.3">
      <c r="A136" s="3">
        <v>132</v>
      </c>
      <c r="B136" s="3" t="s">
        <v>2847</v>
      </c>
      <c r="C136" s="3" t="s">
        <v>2848</v>
      </c>
      <c r="D136" s="3" t="s">
        <v>2528</v>
      </c>
      <c r="E136" s="3" t="s">
        <v>2849</v>
      </c>
      <c r="F136" s="3" t="s">
        <v>171</v>
      </c>
      <c r="G136" s="3" t="str">
        <f>"2"</f>
        <v>2</v>
      </c>
      <c r="H136" s="3" t="str">
        <f>"31040"</f>
        <v>31040</v>
      </c>
      <c r="I136" s="3" t="s">
        <v>13</v>
      </c>
      <c r="J136" s="3" t="s">
        <v>925</v>
      </c>
      <c r="K136" s="3" t="s">
        <v>139</v>
      </c>
    </row>
    <row r="137" spans="1:11" x14ac:dyDescent="0.3">
      <c r="A137" s="4">
        <v>133</v>
      </c>
      <c r="B137" s="4" t="s">
        <v>2850</v>
      </c>
      <c r="C137" s="4" t="s">
        <v>2295</v>
      </c>
      <c r="D137" s="4" t="s">
        <v>2528</v>
      </c>
      <c r="E137" s="4" t="s">
        <v>2849</v>
      </c>
      <c r="F137" s="4" t="s">
        <v>2851</v>
      </c>
      <c r="G137" s="4" t="str">
        <f>"88"</f>
        <v>88</v>
      </c>
      <c r="H137" s="4" t="str">
        <f>"31040"</f>
        <v>31040</v>
      </c>
      <c r="I137" s="4" t="s">
        <v>13</v>
      </c>
      <c r="J137" s="4" t="s">
        <v>926</v>
      </c>
      <c r="K137" s="4" t="s">
        <v>20</v>
      </c>
    </row>
    <row r="138" spans="1:11" x14ac:dyDescent="0.3">
      <c r="A138" s="3">
        <v>134</v>
      </c>
      <c r="B138" s="3" t="s">
        <v>2852</v>
      </c>
      <c r="C138" s="3" t="s">
        <v>2853</v>
      </c>
      <c r="D138" s="3" t="s">
        <v>2528</v>
      </c>
      <c r="E138" s="3" t="s">
        <v>2849</v>
      </c>
      <c r="F138" s="3" t="s">
        <v>2854</v>
      </c>
      <c r="G138" s="3" t="str">
        <f>"1"</f>
        <v>1</v>
      </c>
      <c r="H138" s="3" t="str">
        <f>"31040"</f>
        <v>31040</v>
      </c>
      <c r="I138" s="3" t="s">
        <v>13</v>
      </c>
      <c r="J138" s="3" t="s">
        <v>925</v>
      </c>
      <c r="K138" s="3" t="s">
        <v>14</v>
      </c>
    </row>
    <row r="139" spans="1:11" x14ac:dyDescent="0.3">
      <c r="A139" s="3">
        <v>135</v>
      </c>
      <c r="B139" s="3" t="s">
        <v>2855</v>
      </c>
      <c r="C139" s="3" t="s">
        <v>2856</v>
      </c>
      <c r="D139" s="3" t="s">
        <v>2528</v>
      </c>
      <c r="E139" s="3" t="s">
        <v>2857</v>
      </c>
      <c r="F139" s="3" t="s">
        <v>2858</v>
      </c>
      <c r="G139" s="3" t="str">
        <f>"86"</f>
        <v>86</v>
      </c>
      <c r="H139" s="3" t="str">
        <f t="shared" ref="H139:H150" si="5">"31046"</f>
        <v>31046</v>
      </c>
      <c r="I139" s="3" t="s">
        <v>13</v>
      </c>
      <c r="J139" s="3" t="s">
        <v>925</v>
      </c>
      <c r="K139" s="3" t="s">
        <v>43</v>
      </c>
    </row>
    <row r="140" spans="1:11" x14ac:dyDescent="0.3">
      <c r="A140" s="3">
        <v>136</v>
      </c>
      <c r="B140" s="3" t="s">
        <v>1107</v>
      </c>
      <c r="C140" s="3" t="s">
        <v>2859</v>
      </c>
      <c r="D140" s="3" t="s">
        <v>2528</v>
      </c>
      <c r="E140" s="3" t="s">
        <v>2857</v>
      </c>
      <c r="F140" s="3" t="s">
        <v>2860</v>
      </c>
      <c r="G140" s="3" t="str">
        <f>"SNC"</f>
        <v>SNC</v>
      </c>
      <c r="H140" s="3" t="str">
        <f t="shared" si="5"/>
        <v>31046</v>
      </c>
      <c r="I140" s="3" t="s">
        <v>13</v>
      </c>
      <c r="J140" s="3" t="s">
        <v>925</v>
      </c>
      <c r="K140" s="3" t="s">
        <v>14</v>
      </c>
    </row>
    <row r="141" spans="1:11" x14ac:dyDescent="0.3">
      <c r="A141" s="3">
        <v>137</v>
      </c>
      <c r="B141" s="3" t="s">
        <v>2861</v>
      </c>
      <c r="C141" s="3" t="s">
        <v>2862</v>
      </c>
      <c r="D141" s="3" t="s">
        <v>2528</v>
      </c>
      <c r="E141" s="3" t="s">
        <v>2857</v>
      </c>
      <c r="F141" s="3" t="s">
        <v>2863</v>
      </c>
      <c r="G141" s="3" t="str">
        <f>"10"</f>
        <v>10</v>
      </c>
      <c r="H141" s="3" t="str">
        <f t="shared" si="5"/>
        <v>31046</v>
      </c>
      <c r="I141" s="3" t="s">
        <v>13</v>
      </c>
      <c r="J141" s="3" t="s">
        <v>925</v>
      </c>
      <c r="K141" s="3" t="s">
        <v>2864</v>
      </c>
    </row>
    <row r="142" spans="1:11" x14ac:dyDescent="0.3">
      <c r="A142" s="3">
        <v>138</v>
      </c>
      <c r="B142" s="3" t="s">
        <v>2865</v>
      </c>
      <c r="C142" s="3" t="s">
        <v>2866</v>
      </c>
      <c r="D142" s="3" t="s">
        <v>2528</v>
      </c>
      <c r="E142" s="3" t="s">
        <v>2857</v>
      </c>
      <c r="F142" s="3" t="s">
        <v>2867</v>
      </c>
      <c r="G142" s="3" t="str">
        <f>"13"</f>
        <v>13</v>
      </c>
      <c r="H142" s="3" t="str">
        <f t="shared" si="5"/>
        <v>31046</v>
      </c>
      <c r="I142" s="3" t="s">
        <v>13</v>
      </c>
      <c r="J142" s="3" t="s">
        <v>925</v>
      </c>
      <c r="K142" s="3" t="s">
        <v>20</v>
      </c>
    </row>
    <row r="143" spans="1:11" x14ac:dyDescent="0.3">
      <c r="A143" s="3">
        <v>139</v>
      </c>
      <c r="B143" s="3" t="s">
        <v>2868</v>
      </c>
      <c r="C143" s="3" t="s">
        <v>2869</v>
      </c>
      <c r="D143" s="3" t="s">
        <v>2528</v>
      </c>
      <c r="E143" s="3" t="s">
        <v>2857</v>
      </c>
      <c r="F143" s="3" t="s">
        <v>2870</v>
      </c>
      <c r="G143" s="3" t="str">
        <f>"13"</f>
        <v>13</v>
      </c>
      <c r="H143" s="3" t="str">
        <f t="shared" si="5"/>
        <v>31046</v>
      </c>
      <c r="I143" s="3" t="s">
        <v>13</v>
      </c>
      <c r="J143" s="3" t="s">
        <v>925</v>
      </c>
      <c r="K143" s="3" t="s">
        <v>43</v>
      </c>
    </row>
    <row r="144" spans="1:11" x14ac:dyDescent="0.3">
      <c r="A144" s="3">
        <v>140</v>
      </c>
      <c r="B144" s="3" t="s">
        <v>2868</v>
      </c>
      <c r="C144" s="3" t="s">
        <v>2871</v>
      </c>
      <c r="D144" s="3" t="s">
        <v>2528</v>
      </c>
      <c r="E144" s="3" t="s">
        <v>2857</v>
      </c>
      <c r="F144" s="3" t="s">
        <v>81</v>
      </c>
      <c r="G144" s="3" t="str">
        <f>"39/A"</f>
        <v>39/A</v>
      </c>
      <c r="H144" s="3" t="str">
        <f t="shared" si="5"/>
        <v>31046</v>
      </c>
      <c r="I144" s="3" t="s">
        <v>13</v>
      </c>
      <c r="J144" s="3" t="s">
        <v>925</v>
      </c>
      <c r="K144" s="3" t="s">
        <v>14</v>
      </c>
    </row>
    <row r="145" spans="1:11" x14ac:dyDescent="0.3">
      <c r="A145" s="3">
        <v>141</v>
      </c>
      <c r="B145" s="3" t="s">
        <v>2872</v>
      </c>
      <c r="C145" s="3" t="s">
        <v>2873</v>
      </c>
      <c r="D145" s="3" t="s">
        <v>2528</v>
      </c>
      <c r="E145" s="3" t="s">
        <v>2857</v>
      </c>
      <c r="F145" s="3" t="s">
        <v>2874</v>
      </c>
      <c r="G145" s="3" t="str">
        <f>"25"</f>
        <v>25</v>
      </c>
      <c r="H145" s="3" t="str">
        <f t="shared" si="5"/>
        <v>31046</v>
      </c>
      <c r="I145" s="3" t="s">
        <v>13</v>
      </c>
      <c r="J145" s="3" t="s">
        <v>925</v>
      </c>
      <c r="K145" s="3" t="s">
        <v>36</v>
      </c>
    </row>
    <row r="146" spans="1:11" x14ac:dyDescent="0.3">
      <c r="A146" s="9">
        <v>142</v>
      </c>
      <c r="B146" s="9" t="s">
        <v>1494</v>
      </c>
      <c r="C146" s="9" t="s">
        <v>2875</v>
      </c>
      <c r="D146" s="9" t="s">
        <v>2528</v>
      </c>
      <c r="E146" s="9" t="s">
        <v>2857</v>
      </c>
      <c r="F146" s="9" t="s">
        <v>2876</v>
      </c>
      <c r="G146" s="9" t="str">
        <f>"33"</f>
        <v>33</v>
      </c>
      <c r="H146" s="9" t="str">
        <f t="shared" si="5"/>
        <v>31046</v>
      </c>
      <c r="I146" s="9" t="s">
        <v>13</v>
      </c>
      <c r="J146" s="9" t="s">
        <v>924</v>
      </c>
      <c r="K146" s="9" t="s">
        <v>14</v>
      </c>
    </row>
    <row r="147" spans="1:11" x14ac:dyDescent="0.3">
      <c r="A147" s="4">
        <v>143</v>
      </c>
      <c r="B147" s="4" t="s">
        <v>2877</v>
      </c>
      <c r="C147" s="4" t="s">
        <v>2878</v>
      </c>
      <c r="D147" s="4" t="s">
        <v>2528</v>
      </c>
      <c r="E147" s="4" t="s">
        <v>2857</v>
      </c>
      <c r="F147" s="4" t="s">
        <v>2879</v>
      </c>
      <c r="G147" s="4" t="str">
        <f>"10"</f>
        <v>10</v>
      </c>
      <c r="H147" s="4" t="str">
        <f t="shared" si="5"/>
        <v>31046</v>
      </c>
      <c r="I147" s="4" t="s">
        <v>13</v>
      </c>
      <c r="J147" s="4" t="s">
        <v>926</v>
      </c>
      <c r="K147" s="4" t="s">
        <v>20</v>
      </c>
    </row>
    <row r="148" spans="1:11" x14ac:dyDescent="0.3">
      <c r="A148" s="15">
        <v>144</v>
      </c>
      <c r="B148" s="15" t="s">
        <v>1000</v>
      </c>
      <c r="C148" s="15" t="s">
        <v>2880</v>
      </c>
      <c r="D148" s="15" t="s">
        <v>2528</v>
      </c>
      <c r="E148" s="15" t="s">
        <v>2857</v>
      </c>
      <c r="F148" s="15" t="s">
        <v>2881</v>
      </c>
      <c r="G148" s="15" t="str">
        <f>"4"</f>
        <v>4</v>
      </c>
      <c r="H148" s="15" t="str">
        <f t="shared" si="5"/>
        <v>31046</v>
      </c>
      <c r="I148" s="15" t="s">
        <v>13</v>
      </c>
      <c r="J148" s="15" t="s">
        <v>927</v>
      </c>
      <c r="K148" s="15" t="s">
        <v>14</v>
      </c>
    </row>
    <row r="149" spans="1:11" x14ac:dyDescent="0.3">
      <c r="A149" s="15">
        <v>145</v>
      </c>
      <c r="B149" s="15" t="s">
        <v>1000</v>
      </c>
      <c r="C149" s="15" t="s">
        <v>2882</v>
      </c>
      <c r="D149" s="15" t="s">
        <v>2528</v>
      </c>
      <c r="E149" s="15" t="s">
        <v>2857</v>
      </c>
      <c r="F149" s="15" t="s">
        <v>169</v>
      </c>
      <c r="G149" s="15" t="str">
        <f>"63"</f>
        <v>63</v>
      </c>
      <c r="H149" s="15" t="str">
        <f t="shared" si="5"/>
        <v>31046</v>
      </c>
      <c r="I149" s="15" t="s">
        <v>13</v>
      </c>
      <c r="J149" s="15" t="s">
        <v>927</v>
      </c>
      <c r="K149" s="15" t="s">
        <v>20</v>
      </c>
    </row>
    <row r="150" spans="1:11" x14ac:dyDescent="0.3">
      <c r="A150" s="3">
        <v>146</v>
      </c>
      <c r="B150" s="3" t="s">
        <v>2883</v>
      </c>
      <c r="C150" s="3" t="s">
        <v>2884</v>
      </c>
      <c r="D150" s="3" t="s">
        <v>2528</v>
      </c>
      <c r="E150" s="3" t="s">
        <v>2857</v>
      </c>
      <c r="F150" s="3" t="s">
        <v>2885</v>
      </c>
      <c r="G150" s="3" t="str">
        <f>"2"</f>
        <v>2</v>
      </c>
      <c r="H150" s="3" t="str">
        <f t="shared" si="5"/>
        <v>31046</v>
      </c>
      <c r="I150" s="3" t="s">
        <v>13</v>
      </c>
      <c r="J150" s="3" t="s">
        <v>925</v>
      </c>
      <c r="K150" s="3" t="s">
        <v>2886</v>
      </c>
    </row>
    <row r="151" spans="1:11" x14ac:dyDescent="0.3">
      <c r="A151" s="15">
        <v>147</v>
      </c>
      <c r="B151" s="15" t="s">
        <v>2887</v>
      </c>
      <c r="C151" s="15" t="s">
        <v>2888</v>
      </c>
      <c r="D151" s="15" t="s">
        <v>2528</v>
      </c>
      <c r="E151" s="15" t="s">
        <v>2889</v>
      </c>
      <c r="F151" s="15" t="s">
        <v>48</v>
      </c>
      <c r="G151" s="15" t="str">
        <f>"115"</f>
        <v>115</v>
      </c>
      <c r="H151" s="15" t="str">
        <f>"31024"</f>
        <v>31024</v>
      </c>
      <c r="I151" s="15" t="s">
        <v>13</v>
      </c>
      <c r="J151" s="15" t="s">
        <v>927</v>
      </c>
      <c r="K151" s="15" t="s">
        <v>195</v>
      </c>
    </row>
    <row r="152" spans="1:11" x14ac:dyDescent="0.3">
      <c r="A152" s="15">
        <v>148</v>
      </c>
      <c r="B152" s="15" t="s">
        <v>931</v>
      </c>
      <c r="C152" s="15" t="s">
        <v>9</v>
      </c>
      <c r="D152" s="15" t="s">
        <v>2528</v>
      </c>
      <c r="E152" s="15" t="s">
        <v>2890</v>
      </c>
      <c r="F152" s="15" t="s">
        <v>2891</v>
      </c>
      <c r="G152" s="15" t="str">
        <f>"28/32"</f>
        <v>28/32</v>
      </c>
      <c r="H152" s="15" t="str">
        <f t="shared" ref="H152:H162" si="6">"31038"</f>
        <v>31038</v>
      </c>
      <c r="I152" s="15" t="s">
        <v>13</v>
      </c>
      <c r="J152" s="15" t="s">
        <v>927</v>
      </c>
      <c r="K152" s="15" t="s">
        <v>14</v>
      </c>
    </row>
    <row r="153" spans="1:11" x14ac:dyDescent="0.3">
      <c r="A153" s="4">
        <v>149</v>
      </c>
      <c r="B153" s="4" t="s">
        <v>1149</v>
      </c>
      <c r="C153" s="4" t="s">
        <v>315</v>
      </c>
      <c r="D153" s="4" t="s">
        <v>2528</v>
      </c>
      <c r="E153" s="4" t="s">
        <v>2890</v>
      </c>
      <c r="F153" s="4" t="s">
        <v>2892</v>
      </c>
      <c r="G153" s="4" t="str">
        <f>"10"</f>
        <v>10</v>
      </c>
      <c r="H153" s="4" t="str">
        <f t="shared" si="6"/>
        <v>31038</v>
      </c>
      <c r="I153" s="4" t="s">
        <v>13</v>
      </c>
      <c r="J153" s="4" t="s">
        <v>926</v>
      </c>
      <c r="K153" s="4" t="s">
        <v>14</v>
      </c>
    </row>
    <row r="154" spans="1:11" x14ac:dyDescent="0.3">
      <c r="A154" s="3">
        <v>150</v>
      </c>
      <c r="B154" s="3" t="s">
        <v>2893</v>
      </c>
      <c r="C154" s="3" t="s">
        <v>2894</v>
      </c>
      <c r="D154" s="3" t="s">
        <v>2528</v>
      </c>
      <c r="E154" s="3" t="s">
        <v>2890</v>
      </c>
      <c r="F154" s="3" t="s">
        <v>2895</v>
      </c>
      <c r="G154" s="3" t="str">
        <f>"29/A"</f>
        <v>29/A</v>
      </c>
      <c r="H154" s="3" t="str">
        <f t="shared" si="6"/>
        <v>31038</v>
      </c>
      <c r="I154" s="3" t="s">
        <v>13</v>
      </c>
      <c r="J154" s="3" t="s">
        <v>925</v>
      </c>
      <c r="K154" s="3" t="s">
        <v>2896</v>
      </c>
    </row>
    <row r="155" spans="1:11" x14ac:dyDescent="0.3">
      <c r="A155" s="4">
        <v>151</v>
      </c>
      <c r="B155" s="4" t="s">
        <v>2897</v>
      </c>
      <c r="C155" s="4" t="s">
        <v>2898</v>
      </c>
      <c r="D155" s="4" t="s">
        <v>2528</v>
      </c>
      <c r="E155" s="4" t="s">
        <v>2890</v>
      </c>
      <c r="F155" s="4" t="s">
        <v>2899</v>
      </c>
      <c r="G155" s="4" t="str">
        <f>"16"</f>
        <v>16</v>
      </c>
      <c r="H155" s="4" t="str">
        <f t="shared" si="6"/>
        <v>31038</v>
      </c>
      <c r="I155" s="4" t="s">
        <v>13</v>
      </c>
      <c r="J155" s="4" t="s">
        <v>926</v>
      </c>
      <c r="K155" s="4" t="s">
        <v>14</v>
      </c>
    </row>
    <row r="156" spans="1:11" x14ac:dyDescent="0.3">
      <c r="A156" s="3">
        <v>152</v>
      </c>
      <c r="B156" s="3" t="s">
        <v>2900</v>
      </c>
      <c r="C156" s="3" t="s">
        <v>2901</v>
      </c>
      <c r="D156" s="3" t="s">
        <v>2528</v>
      </c>
      <c r="E156" s="3" t="s">
        <v>2890</v>
      </c>
      <c r="F156" s="3" t="s">
        <v>121</v>
      </c>
      <c r="G156" s="3" t="str">
        <f>"166/B"</f>
        <v>166/B</v>
      </c>
      <c r="H156" s="3" t="str">
        <f t="shared" si="6"/>
        <v>31038</v>
      </c>
      <c r="I156" s="3" t="s">
        <v>13</v>
      </c>
      <c r="J156" s="3" t="s">
        <v>925</v>
      </c>
      <c r="K156" s="3" t="s">
        <v>14</v>
      </c>
    </row>
    <row r="157" spans="1:11" x14ac:dyDescent="0.3">
      <c r="A157" s="4">
        <v>153</v>
      </c>
      <c r="B157" s="4" t="s">
        <v>2902</v>
      </c>
      <c r="C157" s="4" t="s">
        <v>2903</v>
      </c>
      <c r="D157" s="4" t="s">
        <v>2528</v>
      </c>
      <c r="E157" s="4" t="s">
        <v>2890</v>
      </c>
      <c r="F157" s="4" t="s">
        <v>2904</v>
      </c>
      <c r="G157" s="4" t="str">
        <f>"20"</f>
        <v>20</v>
      </c>
      <c r="H157" s="4" t="str">
        <f t="shared" si="6"/>
        <v>31038</v>
      </c>
      <c r="I157" s="4" t="s">
        <v>13</v>
      </c>
      <c r="J157" s="4" t="s">
        <v>926</v>
      </c>
      <c r="K157" s="4" t="s">
        <v>58</v>
      </c>
    </row>
    <row r="158" spans="1:11" x14ac:dyDescent="0.3">
      <c r="A158" s="4">
        <v>154</v>
      </c>
      <c r="B158" s="4" t="s">
        <v>2902</v>
      </c>
      <c r="C158" s="4" t="s">
        <v>2905</v>
      </c>
      <c r="D158" s="4" t="s">
        <v>2528</v>
      </c>
      <c r="E158" s="4" t="s">
        <v>2890</v>
      </c>
      <c r="F158" s="4" t="s">
        <v>2906</v>
      </c>
      <c r="G158" s="4" t="str">
        <f>"19"</f>
        <v>19</v>
      </c>
      <c r="H158" s="4" t="str">
        <f t="shared" si="6"/>
        <v>31038</v>
      </c>
      <c r="I158" s="4" t="s">
        <v>13</v>
      </c>
      <c r="J158" s="4" t="s">
        <v>926</v>
      </c>
      <c r="K158" s="4" t="s">
        <v>14</v>
      </c>
    </row>
    <row r="159" spans="1:11" x14ac:dyDescent="0.3">
      <c r="A159" s="3">
        <v>155</v>
      </c>
      <c r="B159" s="3" t="s">
        <v>2907</v>
      </c>
      <c r="C159" s="3" t="s">
        <v>2908</v>
      </c>
      <c r="D159" s="3" t="s">
        <v>2528</v>
      </c>
      <c r="E159" s="3" t="s">
        <v>2890</v>
      </c>
      <c r="F159" s="3" t="s">
        <v>2891</v>
      </c>
      <c r="G159" s="3" t="str">
        <f>"28/28"</f>
        <v>28/28</v>
      </c>
      <c r="H159" s="3" t="str">
        <f t="shared" si="6"/>
        <v>31038</v>
      </c>
      <c r="I159" s="3" t="s">
        <v>13</v>
      </c>
      <c r="J159" s="3" t="s">
        <v>925</v>
      </c>
      <c r="K159" s="3" t="s">
        <v>14</v>
      </c>
    </row>
    <row r="160" spans="1:11" x14ac:dyDescent="0.3">
      <c r="A160" s="16">
        <v>156</v>
      </c>
      <c r="B160" s="16" t="s">
        <v>2909</v>
      </c>
      <c r="C160" s="16" t="s">
        <v>2910</v>
      </c>
      <c r="D160" s="16" t="s">
        <v>2528</v>
      </c>
      <c r="E160" s="16" t="s">
        <v>2890</v>
      </c>
      <c r="F160" s="16" t="s">
        <v>2891</v>
      </c>
      <c r="G160" s="16" t="str">
        <f>"28"</f>
        <v>28</v>
      </c>
      <c r="H160" s="16" t="str">
        <f t="shared" si="6"/>
        <v>31038</v>
      </c>
      <c r="I160" s="16" t="s">
        <v>13</v>
      </c>
      <c r="J160" s="16" t="s">
        <v>928</v>
      </c>
      <c r="K160" s="16" t="s">
        <v>2309</v>
      </c>
    </row>
    <row r="161" spans="1:11" x14ac:dyDescent="0.3">
      <c r="A161" s="3">
        <v>157</v>
      </c>
      <c r="B161" s="3" t="s">
        <v>2911</v>
      </c>
      <c r="C161" s="3" t="s">
        <v>2912</v>
      </c>
      <c r="D161" s="3" t="s">
        <v>2528</v>
      </c>
      <c r="E161" s="3" t="s">
        <v>2890</v>
      </c>
      <c r="F161" s="3" t="s">
        <v>48</v>
      </c>
      <c r="G161" s="3" t="str">
        <f>"66"</f>
        <v>66</v>
      </c>
      <c r="H161" s="3" t="str">
        <f t="shared" si="6"/>
        <v>31038</v>
      </c>
      <c r="I161" s="3" t="s">
        <v>13</v>
      </c>
      <c r="J161" s="3" t="s">
        <v>925</v>
      </c>
      <c r="K161" s="3" t="s">
        <v>205</v>
      </c>
    </row>
    <row r="162" spans="1:11" x14ac:dyDescent="0.3">
      <c r="A162" s="3">
        <v>158</v>
      </c>
      <c r="B162" s="3" t="s">
        <v>2913</v>
      </c>
      <c r="C162" s="3" t="s">
        <v>2914</v>
      </c>
      <c r="D162" s="3" t="s">
        <v>2528</v>
      </c>
      <c r="E162" s="3" t="s">
        <v>2890</v>
      </c>
      <c r="F162" s="3" t="s">
        <v>2904</v>
      </c>
      <c r="G162" s="3" t="str">
        <f>"3/A"</f>
        <v>3/A</v>
      </c>
      <c r="H162" s="3" t="str">
        <f t="shared" si="6"/>
        <v>31038</v>
      </c>
      <c r="I162" s="3" t="s">
        <v>13</v>
      </c>
      <c r="J162" s="3" t="s">
        <v>925</v>
      </c>
      <c r="K162" s="3" t="s">
        <v>200</v>
      </c>
    </row>
    <row r="163" spans="1:11" x14ac:dyDescent="0.3">
      <c r="A163" s="3">
        <v>159</v>
      </c>
      <c r="B163" s="3" t="s">
        <v>2915</v>
      </c>
      <c r="C163" s="3" t="s">
        <v>2916</v>
      </c>
      <c r="D163" s="3" t="s">
        <v>2528</v>
      </c>
      <c r="E163" s="3" t="s">
        <v>2917</v>
      </c>
      <c r="F163" s="3" t="s">
        <v>2811</v>
      </c>
      <c r="G163" s="3" t="str">
        <f>"39/D"</f>
        <v>39/D</v>
      </c>
      <c r="H163" s="3" t="str">
        <f>"31040"</f>
        <v>31040</v>
      </c>
      <c r="I163" s="3" t="s">
        <v>13</v>
      </c>
      <c r="J163" s="3" t="s">
        <v>925</v>
      </c>
      <c r="K163" s="3" t="s">
        <v>98</v>
      </c>
    </row>
    <row r="164" spans="1:11" x14ac:dyDescent="0.3">
      <c r="A164" s="3">
        <v>160</v>
      </c>
      <c r="B164" s="3" t="s">
        <v>2703</v>
      </c>
      <c r="C164" s="3" t="s">
        <v>2918</v>
      </c>
      <c r="D164" s="3" t="s">
        <v>2528</v>
      </c>
      <c r="E164" s="3" t="s">
        <v>2917</v>
      </c>
      <c r="F164" s="3" t="s">
        <v>2919</v>
      </c>
      <c r="G164" s="3" t="str">
        <f>"15"</f>
        <v>15</v>
      </c>
      <c r="H164" s="3" t="str">
        <f>"31040"</f>
        <v>31040</v>
      </c>
      <c r="I164" s="3" t="s">
        <v>13</v>
      </c>
      <c r="J164" s="3" t="s">
        <v>925</v>
      </c>
      <c r="K164" s="3" t="s">
        <v>14</v>
      </c>
    </row>
    <row r="165" spans="1:11" x14ac:dyDescent="0.3">
      <c r="A165" s="15">
        <v>161</v>
      </c>
      <c r="B165" s="15" t="s">
        <v>2822</v>
      </c>
      <c r="C165" s="15" t="s">
        <v>2920</v>
      </c>
      <c r="D165" s="15" t="s">
        <v>2528</v>
      </c>
      <c r="E165" s="15" t="s">
        <v>2917</v>
      </c>
      <c r="F165" s="15" t="s">
        <v>2130</v>
      </c>
      <c r="G165" s="15" t="str">
        <f>"41"</f>
        <v>41</v>
      </c>
      <c r="H165" s="15" t="str">
        <f>"31040"</f>
        <v>31040</v>
      </c>
      <c r="I165" s="15" t="s">
        <v>13</v>
      </c>
      <c r="J165" s="15" t="s">
        <v>927</v>
      </c>
      <c r="K165" s="15" t="s">
        <v>43</v>
      </c>
    </row>
    <row r="166" spans="1:11" x14ac:dyDescent="0.3">
      <c r="A166" s="15">
        <v>162</v>
      </c>
      <c r="B166" s="15" t="s">
        <v>1000</v>
      </c>
      <c r="C166" s="15" t="s">
        <v>2921</v>
      </c>
      <c r="D166" s="15" t="s">
        <v>2528</v>
      </c>
      <c r="E166" s="15" t="s">
        <v>2917</v>
      </c>
      <c r="F166" s="15" t="s">
        <v>761</v>
      </c>
      <c r="G166" s="15" t="str">
        <f>"15"</f>
        <v>15</v>
      </c>
      <c r="H166" s="15" t="str">
        <f>"31040"</f>
        <v>31040</v>
      </c>
      <c r="I166" s="15" t="s">
        <v>13</v>
      </c>
      <c r="J166" s="15" t="s">
        <v>927</v>
      </c>
      <c r="K166" s="15" t="s">
        <v>1701</v>
      </c>
    </row>
    <row r="167" spans="1:11" x14ac:dyDescent="0.3">
      <c r="A167" s="3">
        <v>163</v>
      </c>
      <c r="B167" s="3" t="s">
        <v>2922</v>
      </c>
      <c r="C167" s="3" t="s">
        <v>2923</v>
      </c>
      <c r="D167" s="3" t="s">
        <v>2528</v>
      </c>
      <c r="E167" s="3" t="s">
        <v>2917</v>
      </c>
      <c r="F167" s="3" t="s">
        <v>48</v>
      </c>
      <c r="G167" s="3" t="str">
        <f>"195"</f>
        <v>195</v>
      </c>
      <c r="H167" s="3" t="str">
        <f>"31040"</f>
        <v>31040</v>
      </c>
      <c r="I167" s="3" t="s">
        <v>13</v>
      </c>
      <c r="J167" s="3" t="s">
        <v>925</v>
      </c>
      <c r="K167" s="3" t="s">
        <v>2924</v>
      </c>
    </row>
    <row r="168" spans="1:11" x14ac:dyDescent="0.3">
      <c r="A168" s="3">
        <v>164</v>
      </c>
      <c r="B168" s="3" t="s">
        <v>2925</v>
      </c>
      <c r="C168" s="3" t="s">
        <v>2926</v>
      </c>
      <c r="D168" s="3" t="s">
        <v>2528</v>
      </c>
      <c r="E168" s="3" t="s">
        <v>2927</v>
      </c>
      <c r="F168" s="3" t="s">
        <v>2928</v>
      </c>
      <c r="G168" s="3" t="str">
        <f>"45"</f>
        <v>45</v>
      </c>
      <c r="H168" s="3" t="str">
        <f>"31053"</f>
        <v>31053</v>
      </c>
      <c r="I168" s="3" t="s">
        <v>13</v>
      </c>
      <c r="J168" s="3" t="s">
        <v>925</v>
      </c>
      <c r="K168" s="3" t="s">
        <v>14</v>
      </c>
    </row>
    <row r="169" spans="1:11" x14ac:dyDescent="0.3">
      <c r="A169" s="3">
        <v>165</v>
      </c>
      <c r="B169" s="3" t="s">
        <v>2929</v>
      </c>
      <c r="C169" s="3" t="s">
        <v>2930</v>
      </c>
      <c r="D169" s="3" t="s">
        <v>2528</v>
      </c>
      <c r="E169" s="3" t="s">
        <v>2927</v>
      </c>
      <c r="F169" s="3" t="s">
        <v>2931</v>
      </c>
      <c r="G169" s="3" t="str">
        <f>"3"</f>
        <v>3</v>
      </c>
      <c r="H169" s="3" t="str">
        <f>"31053"</f>
        <v>31053</v>
      </c>
      <c r="I169" s="3" t="s">
        <v>13</v>
      </c>
      <c r="J169" s="3" t="s">
        <v>925</v>
      </c>
      <c r="K169" s="3" t="s">
        <v>58</v>
      </c>
    </row>
    <row r="170" spans="1:11" x14ac:dyDescent="0.3">
      <c r="A170" s="4">
        <v>166</v>
      </c>
      <c r="B170" s="4" t="s">
        <v>2932</v>
      </c>
      <c r="C170" s="4" t="s">
        <v>2933</v>
      </c>
      <c r="D170" s="4" t="s">
        <v>2528</v>
      </c>
      <c r="E170" s="4" t="s">
        <v>2927</v>
      </c>
      <c r="F170" s="4" t="s">
        <v>2729</v>
      </c>
      <c r="G170" s="4" t="str">
        <f>"5A"</f>
        <v>5A</v>
      </c>
      <c r="H170" s="4" t="str">
        <f>"31053"</f>
        <v>31053</v>
      </c>
      <c r="I170" s="4" t="s">
        <v>13</v>
      </c>
      <c r="J170" s="4" t="s">
        <v>926</v>
      </c>
      <c r="K170" s="4" t="s">
        <v>2934</v>
      </c>
    </row>
    <row r="171" spans="1:11" x14ac:dyDescent="0.3">
      <c r="A171" s="15">
        <v>167</v>
      </c>
      <c r="B171" s="15" t="s">
        <v>1000</v>
      </c>
      <c r="C171" s="15" t="s">
        <v>2935</v>
      </c>
      <c r="D171" s="15" t="s">
        <v>2528</v>
      </c>
      <c r="E171" s="15" t="s">
        <v>2927</v>
      </c>
      <c r="F171" s="15" t="s">
        <v>1659</v>
      </c>
      <c r="G171" s="15" t="str">
        <f>"12/8"</f>
        <v>12/8</v>
      </c>
      <c r="H171" s="15" t="str">
        <f>"31053"</f>
        <v>31053</v>
      </c>
      <c r="I171" s="15" t="s">
        <v>13</v>
      </c>
      <c r="J171" s="15" t="s">
        <v>927</v>
      </c>
      <c r="K171" s="15" t="s">
        <v>14</v>
      </c>
    </row>
    <row r="172" spans="1:11" x14ac:dyDescent="0.3">
      <c r="A172" s="4">
        <v>168</v>
      </c>
      <c r="B172" s="4" t="s">
        <v>2936</v>
      </c>
      <c r="C172" s="4" t="s">
        <v>2189</v>
      </c>
      <c r="D172" s="4" t="s">
        <v>2528</v>
      </c>
      <c r="E172" s="4" t="s">
        <v>2927</v>
      </c>
      <c r="F172" s="4" t="s">
        <v>2729</v>
      </c>
      <c r="G172" s="4" t="str">
        <f>"30"</f>
        <v>30</v>
      </c>
      <c r="H172" s="4" t="str">
        <f>"31053"</f>
        <v>31053</v>
      </c>
      <c r="I172" s="4" t="s">
        <v>13</v>
      </c>
      <c r="J172" s="4" t="s">
        <v>926</v>
      </c>
      <c r="K172" s="4" t="s">
        <v>14</v>
      </c>
    </row>
    <row r="173" spans="1:11" x14ac:dyDescent="0.3">
      <c r="A173" s="3">
        <v>169</v>
      </c>
      <c r="B173" s="3" t="s">
        <v>2937</v>
      </c>
      <c r="C173" s="3" t="s">
        <v>2938</v>
      </c>
      <c r="D173" s="3" t="s">
        <v>2528</v>
      </c>
      <c r="E173" s="3" t="s">
        <v>2939</v>
      </c>
      <c r="F173" s="3" t="s">
        <v>2940</v>
      </c>
      <c r="G173" s="3" t="str">
        <f>"1"</f>
        <v>1</v>
      </c>
      <c r="H173" s="3" t="str">
        <f>"31047"</f>
        <v>31047</v>
      </c>
      <c r="I173" s="3" t="s">
        <v>13</v>
      </c>
      <c r="J173" s="3" t="s">
        <v>925</v>
      </c>
      <c r="K173" s="3" t="s">
        <v>36</v>
      </c>
    </row>
    <row r="174" spans="1:11" x14ac:dyDescent="0.3">
      <c r="A174" s="15">
        <v>170</v>
      </c>
      <c r="B174" s="15" t="s">
        <v>2941</v>
      </c>
      <c r="C174" s="15" t="s">
        <v>2942</v>
      </c>
      <c r="D174" s="15" t="s">
        <v>2528</v>
      </c>
      <c r="E174" s="15" t="s">
        <v>2943</v>
      </c>
      <c r="F174" s="15" t="s">
        <v>2944</v>
      </c>
      <c r="G174" s="15" t="str">
        <f>"2"</f>
        <v>2</v>
      </c>
      <c r="H174" s="15" t="str">
        <f>"31050"</f>
        <v>31050</v>
      </c>
      <c r="I174" s="15" t="s">
        <v>13</v>
      </c>
      <c r="J174" s="15" t="s">
        <v>927</v>
      </c>
      <c r="K174" s="15" t="s">
        <v>195</v>
      </c>
    </row>
    <row r="175" spans="1:11" x14ac:dyDescent="0.3">
      <c r="A175" s="3">
        <v>171</v>
      </c>
      <c r="B175" s="3" t="s">
        <v>2945</v>
      </c>
      <c r="C175" s="3" t="s">
        <v>2946</v>
      </c>
      <c r="D175" s="3" t="s">
        <v>2528</v>
      </c>
      <c r="E175" s="3" t="s">
        <v>2943</v>
      </c>
      <c r="F175" s="3" t="s">
        <v>2947</v>
      </c>
      <c r="G175" s="3" t="str">
        <f>"32"</f>
        <v>32</v>
      </c>
      <c r="H175" s="3" t="str">
        <f>"31050"</f>
        <v>31050</v>
      </c>
      <c r="I175" s="3" t="s">
        <v>13</v>
      </c>
      <c r="J175" s="3" t="s">
        <v>925</v>
      </c>
      <c r="K175" s="3" t="s">
        <v>139</v>
      </c>
    </row>
    <row r="176" spans="1:11" x14ac:dyDescent="0.3">
      <c r="A176" s="15">
        <v>172</v>
      </c>
      <c r="B176" s="15" t="s">
        <v>2540</v>
      </c>
      <c r="C176" s="15" t="s">
        <v>2537</v>
      </c>
      <c r="D176" s="15" t="s">
        <v>2528</v>
      </c>
      <c r="E176" s="15" t="s">
        <v>2943</v>
      </c>
      <c r="F176" s="15" t="s">
        <v>48</v>
      </c>
      <c r="G176" s="15" t="str">
        <f>"74"</f>
        <v>74</v>
      </c>
      <c r="H176" s="15" t="str">
        <f>"31050"</f>
        <v>31050</v>
      </c>
      <c r="I176" s="15" t="s">
        <v>13</v>
      </c>
      <c r="J176" s="15" t="s">
        <v>927</v>
      </c>
      <c r="K176" s="15" t="s">
        <v>14</v>
      </c>
    </row>
    <row r="177" spans="1:11" x14ac:dyDescent="0.3">
      <c r="A177" s="4">
        <v>173</v>
      </c>
      <c r="B177" s="4" t="s">
        <v>2948</v>
      </c>
      <c r="C177" s="4" t="s">
        <v>2949</v>
      </c>
      <c r="D177" s="4" t="s">
        <v>2528</v>
      </c>
      <c r="E177" s="4" t="s">
        <v>2950</v>
      </c>
      <c r="F177" s="4" t="s">
        <v>2578</v>
      </c>
      <c r="G177" s="4" t="str">
        <f>"401"</f>
        <v>401</v>
      </c>
      <c r="H177" s="4" t="str">
        <f t="shared" ref="H177:H184" si="7">"31022"</f>
        <v>31022</v>
      </c>
      <c r="I177" s="4" t="s">
        <v>13</v>
      </c>
      <c r="J177" s="4" t="s">
        <v>926</v>
      </c>
      <c r="K177" s="4" t="s">
        <v>224</v>
      </c>
    </row>
    <row r="178" spans="1:11" x14ac:dyDescent="0.3">
      <c r="A178" s="3">
        <v>174</v>
      </c>
      <c r="B178" s="3" t="s">
        <v>2951</v>
      </c>
      <c r="C178" s="3" t="s">
        <v>2952</v>
      </c>
      <c r="D178" s="3" t="s">
        <v>2528</v>
      </c>
      <c r="E178" s="3" t="s">
        <v>2950</v>
      </c>
      <c r="F178" s="3" t="s">
        <v>2953</v>
      </c>
      <c r="G178" s="3" t="str">
        <f>"1"</f>
        <v>1</v>
      </c>
      <c r="H178" s="3" t="str">
        <f t="shared" si="7"/>
        <v>31022</v>
      </c>
      <c r="I178" s="3" t="s">
        <v>13</v>
      </c>
      <c r="J178" s="3" t="s">
        <v>925</v>
      </c>
      <c r="K178" s="3" t="s">
        <v>2924</v>
      </c>
    </row>
    <row r="179" spans="1:11" x14ac:dyDescent="0.3">
      <c r="A179" s="4">
        <v>175</v>
      </c>
      <c r="B179" s="4" t="s">
        <v>2954</v>
      </c>
      <c r="C179" s="4" t="s">
        <v>2955</v>
      </c>
      <c r="D179" s="4" t="s">
        <v>2528</v>
      </c>
      <c r="E179" s="4" t="s">
        <v>2950</v>
      </c>
      <c r="F179" s="4" t="s">
        <v>2578</v>
      </c>
      <c r="G179" s="4" t="str">
        <f>"220"</f>
        <v>220</v>
      </c>
      <c r="H179" s="4" t="str">
        <f t="shared" si="7"/>
        <v>31022</v>
      </c>
      <c r="I179" s="4" t="s">
        <v>13</v>
      </c>
      <c r="J179" s="4" t="s">
        <v>926</v>
      </c>
      <c r="K179" s="4" t="s">
        <v>14</v>
      </c>
    </row>
    <row r="180" spans="1:11" x14ac:dyDescent="0.3">
      <c r="A180" s="4">
        <v>176</v>
      </c>
      <c r="B180" s="4" t="s">
        <v>2956</v>
      </c>
      <c r="C180" s="4" t="s">
        <v>2957</v>
      </c>
      <c r="D180" s="4" t="s">
        <v>2528</v>
      </c>
      <c r="E180" s="4" t="s">
        <v>2950</v>
      </c>
      <c r="F180" s="4" t="s">
        <v>2958</v>
      </c>
      <c r="G180" s="4" t="str">
        <f>"2A"</f>
        <v>2A</v>
      </c>
      <c r="H180" s="4" t="str">
        <f t="shared" si="7"/>
        <v>31022</v>
      </c>
      <c r="I180" s="4" t="s">
        <v>13</v>
      </c>
      <c r="J180" s="4" t="s">
        <v>926</v>
      </c>
      <c r="K180" s="4" t="s">
        <v>43</v>
      </c>
    </row>
    <row r="181" spans="1:11" x14ac:dyDescent="0.3">
      <c r="A181" s="16">
        <v>177</v>
      </c>
      <c r="B181" s="16" t="s">
        <v>2959</v>
      </c>
      <c r="C181" s="16" t="s">
        <v>2960</v>
      </c>
      <c r="D181" s="16" t="s">
        <v>2528</v>
      </c>
      <c r="E181" s="16" t="s">
        <v>2950</v>
      </c>
      <c r="F181" s="16" t="s">
        <v>2961</v>
      </c>
      <c r="G181" s="16" t="str">
        <f>"71/A"</f>
        <v>71/A</v>
      </c>
      <c r="H181" s="16" t="str">
        <f t="shared" si="7"/>
        <v>31022</v>
      </c>
      <c r="I181" s="16" t="s">
        <v>13</v>
      </c>
      <c r="J181" s="16" t="s">
        <v>928</v>
      </c>
      <c r="K181" s="16" t="s">
        <v>14</v>
      </c>
    </row>
    <row r="182" spans="1:11" x14ac:dyDescent="0.3">
      <c r="A182" s="3">
        <v>178</v>
      </c>
      <c r="B182" s="3" t="s">
        <v>2962</v>
      </c>
      <c r="C182" s="3" t="s">
        <v>2963</v>
      </c>
      <c r="D182" s="3" t="s">
        <v>2528</v>
      </c>
      <c r="E182" s="3" t="s">
        <v>2950</v>
      </c>
      <c r="F182" s="3" t="s">
        <v>2964</v>
      </c>
      <c r="G182" s="3" t="str">
        <f>"35"</f>
        <v>35</v>
      </c>
      <c r="H182" s="3" t="str">
        <f t="shared" si="7"/>
        <v>31022</v>
      </c>
      <c r="I182" s="3" t="s">
        <v>13</v>
      </c>
      <c r="J182" s="3" t="s">
        <v>925</v>
      </c>
      <c r="K182" s="3" t="s">
        <v>2965</v>
      </c>
    </row>
    <row r="183" spans="1:11" x14ac:dyDescent="0.3">
      <c r="A183" s="3">
        <v>179</v>
      </c>
      <c r="B183" s="3" t="s">
        <v>2966</v>
      </c>
      <c r="C183" s="3" t="s">
        <v>2967</v>
      </c>
      <c r="D183" s="3" t="s">
        <v>2528</v>
      </c>
      <c r="E183" s="3" t="s">
        <v>2950</v>
      </c>
      <c r="F183" s="3" t="s">
        <v>2578</v>
      </c>
      <c r="G183" s="3" t="str">
        <f>"114"</f>
        <v>114</v>
      </c>
      <c r="H183" s="3" t="str">
        <f t="shared" si="7"/>
        <v>31022</v>
      </c>
      <c r="I183" s="3" t="s">
        <v>13</v>
      </c>
      <c r="J183" s="3" t="s">
        <v>925</v>
      </c>
      <c r="K183" s="3" t="s">
        <v>14</v>
      </c>
    </row>
    <row r="184" spans="1:11" x14ac:dyDescent="0.3">
      <c r="A184" s="9">
        <v>180</v>
      </c>
      <c r="B184" s="9" t="s">
        <v>1494</v>
      </c>
      <c r="C184" s="9" t="s">
        <v>2968</v>
      </c>
      <c r="D184" s="9" t="s">
        <v>2528</v>
      </c>
      <c r="E184" s="9" t="s">
        <v>2950</v>
      </c>
      <c r="F184" s="9" t="s">
        <v>2578</v>
      </c>
      <c r="G184" s="9" t="str">
        <f>"58"</f>
        <v>58</v>
      </c>
      <c r="H184" s="9" t="str">
        <f t="shared" si="7"/>
        <v>31022</v>
      </c>
      <c r="I184" s="9" t="s">
        <v>13</v>
      </c>
      <c r="J184" s="9" t="s">
        <v>924</v>
      </c>
      <c r="K184" s="9" t="s">
        <v>14</v>
      </c>
    </row>
    <row r="185" spans="1:11" x14ac:dyDescent="0.3">
      <c r="A185" s="4">
        <v>181</v>
      </c>
      <c r="B185" s="4" t="s">
        <v>2969</v>
      </c>
      <c r="C185" s="4" t="s">
        <v>2970</v>
      </c>
      <c r="D185" s="4" t="s">
        <v>2528</v>
      </c>
      <c r="E185" s="4" t="s">
        <v>2971</v>
      </c>
      <c r="F185" s="4" t="s">
        <v>2692</v>
      </c>
      <c r="G185" s="4" t="str">
        <f>"54"</f>
        <v>54</v>
      </c>
      <c r="H185" s="4" t="str">
        <f t="shared" ref="H185:H190" si="8">"31055"</f>
        <v>31055</v>
      </c>
      <c r="I185" s="4" t="s">
        <v>13</v>
      </c>
      <c r="J185" s="4" t="s">
        <v>926</v>
      </c>
      <c r="K185" s="4" t="s">
        <v>224</v>
      </c>
    </row>
    <row r="186" spans="1:11" x14ac:dyDescent="0.3">
      <c r="A186" s="16">
        <v>182</v>
      </c>
      <c r="B186" s="16" t="s">
        <v>2972</v>
      </c>
      <c r="C186" s="16" t="s">
        <v>2973</v>
      </c>
      <c r="D186" s="16" t="s">
        <v>2528</v>
      </c>
      <c r="E186" s="16" t="s">
        <v>2971</v>
      </c>
      <c r="F186" s="16" t="s">
        <v>2974</v>
      </c>
      <c r="G186" s="16" t="str">
        <f>"1"</f>
        <v>1</v>
      </c>
      <c r="H186" s="16" t="str">
        <f t="shared" si="8"/>
        <v>31055</v>
      </c>
      <c r="I186" s="16" t="s">
        <v>13</v>
      </c>
      <c r="J186" s="16" t="s">
        <v>928</v>
      </c>
      <c r="K186" s="16" t="s">
        <v>224</v>
      </c>
    </row>
    <row r="187" spans="1:11" x14ac:dyDescent="0.3">
      <c r="A187" s="3">
        <v>183</v>
      </c>
      <c r="B187" s="3" t="s">
        <v>2975</v>
      </c>
      <c r="C187" s="3" t="s">
        <v>2976</v>
      </c>
      <c r="D187" s="3" t="s">
        <v>2528</v>
      </c>
      <c r="E187" s="3" t="s">
        <v>2971</v>
      </c>
      <c r="F187" s="3" t="s">
        <v>121</v>
      </c>
      <c r="G187" s="3" t="str">
        <f>"2"</f>
        <v>2</v>
      </c>
      <c r="H187" s="3" t="str">
        <f t="shared" si="8"/>
        <v>31055</v>
      </c>
      <c r="I187" s="3" t="s">
        <v>13</v>
      </c>
      <c r="J187" s="3" t="s">
        <v>925</v>
      </c>
      <c r="K187" s="3" t="s">
        <v>43</v>
      </c>
    </row>
    <row r="188" spans="1:11" x14ac:dyDescent="0.3">
      <c r="A188" s="3">
        <v>184</v>
      </c>
      <c r="B188" s="3" t="s">
        <v>2977</v>
      </c>
      <c r="C188" s="3" t="s">
        <v>2978</v>
      </c>
      <c r="D188" s="3" t="s">
        <v>2528</v>
      </c>
      <c r="E188" s="3" t="s">
        <v>2971</v>
      </c>
      <c r="F188" s="3" t="s">
        <v>69</v>
      </c>
      <c r="G188" s="3" t="str">
        <f>"9"</f>
        <v>9</v>
      </c>
      <c r="H188" s="3" t="str">
        <f t="shared" si="8"/>
        <v>31055</v>
      </c>
      <c r="I188" s="3" t="s">
        <v>13</v>
      </c>
      <c r="J188" s="3" t="s">
        <v>925</v>
      </c>
      <c r="K188" s="3" t="s">
        <v>27</v>
      </c>
    </row>
    <row r="189" spans="1:11" x14ac:dyDescent="0.3">
      <c r="A189" s="3">
        <v>185</v>
      </c>
      <c r="B189" s="3" t="s">
        <v>2979</v>
      </c>
      <c r="C189" s="3" t="s">
        <v>2980</v>
      </c>
      <c r="D189" s="3" t="s">
        <v>2528</v>
      </c>
      <c r="E189" s="3" t="s">
        <v>2971</v>
      </c>
      <c r="F189" s="3" t="s">
        <v>2981</v>
      </c>
      <c r="G189" s="3" t="str">
        <f>"44"</f>
        <v>44</v>
      </c>
      <c r="H189" s="3" t="str">
        <f t="shared" si="8"/>
        <v>31055</v>
      </c>
      <c r="I189" s="3" t="s">
        <v>13</v>
      </c>
      <c r="J189" s="3" t="s">
        <v>925</v>
      </c>
      <c r="K189" s="3" t="s">
        <v>58</v>
      </c>
    </row>
    <row r="190" spans="1:11" x14ac:dyDescent="0.3">
      <c r="A190" s="3">
        <v>186</v>
      </c>
      <c r="B190" s="3" t="s">
        <v>2982</v>
      </c>
      <c r="C190" s="3" t="s">
        <v>2983</v>
      </c>
      <c r="D190" s="3" t="s">
        <v>2528</v>
      </c>
      <c r="E190" s="3" t="s">
        <v>2971</v>
      </c>
      <c r="F190" s="3" t="s">
        <v>107</v>
      </c>
      <c r="G190" s="3" t="str">
        <f>"37"</f>
        <v>37</v>
      </c>
      <c r="H190" s="3" t="str">
        <f t="shared" si="8"/>
        <v>31055</v>
      </c>
      <c r="I190" s="3" t="s">
        <v>13</v>
      </c>
      <c r="J190" s="3" t="s">
        <v>925</v>
      </c>
      <c r="K190" s="3" t="s">
        <v>27</v>
      </c>
    </row>
    <row r="191" spans="1:11" x14ac:dyDescent="0.3">
      <c r="A191" s="3">
        <v>187</v>
      </c>
      <c r="B191" s="3" t="s">
        <v>2984</v>
      </c>
      <c r="C191" s="3" t="s">
        <v>2985</v>
      </c>
      <c r="D191" s="3" t="s">
        <v>2528</v>
      </c>
      <c r="E191" s="3" t="s">
        <v>2986</v>
      </c>
      <c r="F191" s="3" t="s">
        <v>2595</v>
      </c>
      <c r="G191" s="3" t="str">
        <f>"60"</f>
        <v>60</v>
      </c>
      <c r="H191" s="3" t="str">
        <f>"31023"</f>
        <v>31023</v>
      </c>
      <c r="I191" s="3" t="s">
        <v>13</v>
      </c>
      <c r="J191" s="3" t="s">
        <v>925</v>
      </c>
      <c r="K191" s="3" t="s">
        <v>156</v>
      </c>
    </row>
    <row r="192" spans="1:11" x14ac:dyDescent="0.3">
      <c r="A192" s="3">
        <v>188</v>
      </c>
      <c r="B192" s="3" t="s">
        <v>2987</v>
      </c>
      <c r="C192" s="3" t="s">
        <v>2798</v>
      </c>
      <c r="D192" s="3" t="s">
        <v>2528</v>
      </c>
      <c r="E192" s="3" t="s">
        <v>2986</v>
      </c>
      <c r="F192" s="3" t="s">
        <v>679</v>
      </c>
      <c r="G192" s="3" t="str">
        <f>"89"</f>
        <v>89</v>
      </c>
      <c r="H192" s="3" t="str">
        <f>"31023"</f>
        <v>31023</v>
      </c>
      <c r="I192" s="3" t="s">
        <v>13</v>
      </c>
      <c r="J192" s="3" t="s">
        <v>925</v>
      </c>
      <c r="K192" s="3" t="s">
        <v>14</v>
      </c>
    </row>
    <row r="193" spans="1:11" x14ac:dyDescent="0.3">
      <c r="A193" s="3">
        <v>189</v>
      </c>
      <c r="B193" s="3" t="s">
        <v>2988</v>
      </c>
      <c r="C193" s="3" t="s">
        <v>2989</v>
      </c>
      <c r="D193" s="3" t="s">
        <v>2528</v>
      </c>
      <c r="E193" s="3" t="s">
        <v>2990</v>
      </c>
      <c r="F193" s="3" t="s">
        <v>2991</v>
      </c>
      <c r="G193" s="3" t="str">
        <f>"31"</f>
        <v>31</v>
      </c>
      <c r="H193" s="3" t="str">
        <f>"31039"</f>
        <v>31039</v>
      </c>
      <c r="I193" s="3" t="s">
        <v>13</v>
      </c>
      <c r="J193" s="3" t="s">
        <v>925</v>
      </c>
      <c r="K193" s="3" t="s">
        <v>14</v>
      </c>
    </row>
    <row r="194" spans="1:11" x14ac:dyDescent="0.3">
      <c r="A194" s="3">
        <v>190</v>
      </c>
      <c r="B194" s="3" t="s">
        <v>2543</v>
      </c>
      <c r="C194" s="3" t="s">
        <v>2992</v>
      </c>
      <c r="D194" s="3" t="s">
        <v>2528</v>
      </c>
      <c r="E194" s="3" t="s">
        <v>2990</v>
      </c>
      <c r="F194" s="3" t="s">
        <v>2993</v>
      </c>
      <c r="G194" s="3" t="str">
        <f>"5"</f>
        <v>5</v>
      </c>
      <c r="H194" s="3" t="str">
        <f>"31039"</f>
        <v>31039</v>
      </c>
      <c r="I194" s="3" t="s">
        <v>13</v>
      </c>
      <c r="J194" s="3" t="s">
        <v>925</v>
      </c>
      <c r="K194" s="3" t="s">
        <v>14</v>
      </c>
    </row>
    <row r="195" spans="1:11" x14ac:dyDescent="0.3">
      <c r="A195" s="15">
        <v>191</v>
      </c>
      <c r="B195" s="15" t="s">
        <v>931</v>
      </c>
      <c r="C195" s="15" t="s">
        <v>54</v>
      </c>
      <c r="D195" s="15" t="s">
        <v>2528</v>
      </c>
      <c r="E195" s="15" t="s">
        <v>2994</v>
      </c>
      <c r="F195" s="15" t="s">
        <v>2995</v>
      </c>
      <c r="G195" s="15" t="str">
        <f>"1"</f>
        <v>1</v>
      </c>
      <c r="H195" s="15" t="str">
        <f t="shared" ref="H195:H203" si="9">"31056"</f>
        <v>31056</v>
      </c>
      <c r="I195" s="15" t="s">
        <v>13</v>
      </c>
      <c r="J195" s="15" t="s">
        <v>927</v>
      </c>
      <c r="K195" s="15" t="s">
        <v>14</v>
      </c>
    </row>
    <row r="196" spans="1:11" x14ac:dyDescent="0.3">
      <c r="A196" s="3">
        <v>192</v>
      </c>
      <c r="B196" s="3" t="s">
        <v>2996</v>
      </c>
      <c r="C196" s="3" t="s">
        <v>2997</v>
      </c>
      <c r="D196" s="3" t="s">
        <v>2528</v>
      </c>
      <c r="E196" s="3" t="s">
        <v>2994</v>
      </c>
      <c r="F196" s="3" t="s">
        <v>2998</v>
      </c>
      <c r="G196" s="3" t="str">
        <f>"138"</f>
        <v>138</v>
      </c>
      <c r="H196" s="3" t="str">
        <f t="shared" si="9"/>
        <v>31056</v>
      </c>
      <c r="I196" s="3" t="s">
        <v>13</v>
      </c>
      <c r="J196" s="3" t="s">
        <v>925</v>
      </c>
      <c r="K196" s="3" t="s">
        <v>36</v>
      </c>
    </row>
    <row r="197" spans="1:11" x14ac:dyDescent="0.3">
      <c r="A197" s="16">
        <v>193</v>
      </c>
      <c r="B197" s="16" t="s">
        <v>1356</v>
      </c>
      <c r="C197" s="16" t="s">
        <v>551</v>
      </c>
      <c r="D197" s="16" t="s">
        <v>2528</v>
      </c>
      <c r="E197" s="16" t="s">
        <v>2994</v>
      </c>
      <c r="F197" s="16" t="s">
        <v>2999</v>
      </c>
      <c r="G197" s="16" t="str">
        <f>"SNC"</f>
        <v>SNC</v>
      </c>
      <c r="H197" s="16" t="str">
        <f t="shared" si="9"/>
        <v>31056</v>
      </c>
      <c r="I197" s="16" t="s">
        <v>13</v>
      </c>
      <c r="J197" s="16" t="s">
        <v>928</v>
      </c>
      <c r="K197" s="16" t="s">
        <v>14</v>
      </c>
    </row>
    <row r="198" spans="1:11" x14ac:dyDescent="0.3">
      <c r="A198" s="3">
        <v>194</v>
      </c>
      <c r="B198" s="3" t="s">
        <v>3000</v>
      </c>
      <c r="C198" s="3" t="s">
        <v>3001</v>
      </c>
      <c r="D198" s="3" t="s">
        <v>2528</v>
      </c>
      <c r="E198" s="3" t="s">
        <v>2994</v>
      </c>
      <c r="F198" s="3" t="s">
        <v>3002</v>
      </c>
      <c r="G198" s="3" t="str">
        <f>"64"</f>
        <v>64</v>
      </c>
      <c r="H198" s="3" t="str">
        <f t="shared" si="9"/>
        <v>31056</v>
      </c>
      <c r="I198" s="3" t="s">
        <v>13</v>
      </c>
      <c r="J198" s="3" t="s">
        <v>925</v>
      </c>
      <c r="K198" s="3" t="s">
        <v>398</v>
      </c>
    </row>
    <row r="199" spans="1:11" x14ac:dyDescent="0.3">
      <c r="A199" s="3">
        <v>195</v>
      </c>
      <c r="B199" s="3" t="s">
        <v>3003</v>
      </c>
      <c r="C199" s="3" t="s">
        <v>3004</v>
      </c>
      <c r="D199" s="3" t="s">
        <v>2528</v>
      </c>
      <c r="E199" s="3" t="s">
        <v>2994</v>
      </c>
      <c r="F199" s="3" t="s">
        <v>325</v>
      </c>
      <c r="G199" s="3" t="str">
        <f>"14"</f>
        <v>14</v>
      </c>
      <c r="H199" s="3" t="str">
        <f t="shared" si="9"/>
        <v>31056</v>
      </c>
      <c r="I199" s="3" t="s">
        <v>13</v>
      </c>
      <c r="J199" s="3" t="s">
        <v>925</v>
      </c>
      <c r="K199" s="3" t="s">
        <v>848</v>
      </c>
    </row>
    <row r="200" spans="1:11" x14ac:dyDescent="0.3">
      <c r="A200" s="3">
        <v>196</v>
      </c>
      <c r="B200" s="3" t="s">
        <v>3005</v>
      </c>
      <c r="C200" s="3" t="s">
        <v>3006</v>
      </c>
      <c r="D200" s="3" t="s">
        <v>2528</v>
      </c>
      <c r="E200" s="3" t="s">
        <v>2994</v>
      </c>
      <c r="F200" s="3" t="s">
        <v>271</v>
      </c>
      <c r="G200" s="3" t="str">
        <f>"173"</f>
        <v>173</v>
      </c>
      <c r="H200" s="3" t="str">
        <f t="shared" si="9"/>
        <v>31056</v>
      </c>
      <c r="I200" s="3" t="s">
        <v>13</v>
      </c>
      <c r="J200" s="3" t="s">
        <v>925</v>
      </c>
      <c r="K200" s="3" t="s">
        <v>205</v>
      </c>
    </row>
    <row r="201" spans="1:11" x14ac:dyDescent="0.3">
      <c r="A201" s="3">
        <v>197</v>
      </c>
      <c r="B201" s="3" t="s">
        <v>3007</v>
      </c>
      <c r="C201" s="3" t="s">
        <v>467</v>
      </c>
      <c r="D201" s="3" t="s">
        <v>2528</v>
      </c>
      <c r="E201" s="3" t="s">
        <v>2994</v>
      </c>
      <c r="F201" s="3" t="s">
        <v>3008</v>
      </c>
      <c r="G201" s="3" t="str">
        <f>"11"</f>
        <v>11</v>
      </c>
      <c r="H201" s="3" t="str">
        <f t="shared" si="9"/>
        <v>31056</v>
      </c>
      <c r="I201" s="3" t="s">
        <v>13</v>
      </c>
      <c r="J201" s="3" t="s">
        <v>925</v>
      </c>
      <c r="K201" s="3" t="s">
        <v>58</v>
      </c>
    </row>
    <row r="202" spans="1:11" x14ac:dyDescent="0.3">
      <c r="A202" s="3">
        <v>198</v>
      </c>
      <c r="B202" s="3" t="s">
        <v>3009</v>
      </c>
      <c r="C202" s="3" t="s">
        <v>3010</v>
      </c>
      <c r="D202" s="3" t="s">
        <v>2528</v>
      </c>
      <c r="E202" s="3" t="s">
        <v>2994</v>
      </c>
      <c r="F202" s="3" t="s">
        <v>48</v>
      </c>
      <c r="G202" s="3" t="str">
        <f>"82/84"</f>
        <v>82/84</v>
      </c>
      <c r="H202" s="3" t="str">
        <f t="shared" si="9"/>
        <v>31056</v>
      </c>
      <c r="I202" s="3" t="s">
        <v>13</v>
      </c>
      <c r="J202" s="3" t="s">
        <v>925</v>
      </c>
      <c r="K202" s="3" t="s">
        <v>205</v>
      </c>
    </row>
    <row r="203" spans="1:11" x14ac:dyDescent="0.3">
      <c r="A203" s="4">
        <v>199</v>
      </c>
      <c r="B203" s="4" t="s">
        <v>3011</v>
      </c>
      <c r="C203" s="4" t="s">
        <v>3012</v>
      </c>
      <c r="D203" s="4" t="s">
        <v>2528</v>
      </c>
      <c r="E203" s="4" t="s">
        <v>2994</v>
      </c>
      <c r="F203" s="4" t="s">
        <v>26</v>
      </c>
      <c r="G203" s="4" t="str">
        <f>"4"</f>
        <v>4</v>
      </c>
      <c r="H203" s="4" t="str">
        <f t="shared" si="9"/>
        <v>31056</v>
      </c>
      <c r="I203" s="4" t="s">
        <v>13</v>
      </c>
      <c r="J203" s="4" t="s">
        <v>926</v>
      </c>
      <c r="K203" s="4" t="s">
        <v>58</v>
      </c>
    </row>
    <row r="204" spans="1:11" x14ac:dyDescent="0.3">
      <c r="A204" s="15">
        <v>200</v>
      </c>
      <c r="B204" s="15" t="s">
        <v>931</v>
      </c>
      <c r="C204" s="15" t="s">
        <v>54</v>
      </c>
      <c r="D204" s="15" t="s">
        <v>2528</v>
      </c>
      <c r="E204" s="15" t="s">
        <v>3013</v>
      </c>
      <c r="F204" s="15" t="s">
        <v>3014</v>
      </c>
      <c r="G204" s="15" t="str">
        <f>"23"</f>
        <v>23</v>
      </c>
      <c r="H204" s="15" t="str">
        <f>"31040"</f>
        <v>31040</v>
      </c>
      <c r="I204" s="15" t="s">
        <v>13</v>
      </c>
      <c r="J204" s="15" t="s">
        <v>927</v>
      </c>
      <c r="K204" s="15" t="s">
        <v>14</v>
      </c>
    </row>
    <row r="205" spans="1:11" x14ac:dyDescent="0.3">
      <c r="A205" s="3">
        <v>201</v>
      </c>
      <c r="B205" s="3" t="s">
        <v>3015</v>
      </c>
      <c r="C205" s="3" t="s">
        <v>3016</v>
      </c>
      <c r="D205" s="3" t="s">
        <v>2528</v>
      </c>
      <c r="E205" s="3" t="s">
        <v>3013</v>
      </c>
      <c r="F205" s="3" t="s">
        <v>3017</v>
      </c>
      <c r="G205" s="3" t="str">
        <f>"42"</f>
        <v>42</v>
      </c>
      <c r="H205" s="3" t="str">
        <f>"31040"</f>
        <v>31040</v>
      </c>
      <c r="I205" s="3" t="s">
        <v>13</v>
      </c>
      <c r="J205" s="3" t="s">
        <v>925</v>
      </c>
      <c r="K205" s="3" t="s">
        <v>14</v>
      </c>
    </row>
    <row r="206" spans="1:11" x14ac:dyDescent="0.3">
      <c r="A206" s="3">
        <v>202</v>
      </c>
      <c r="B206" s="3" t="s">
        <v>3018</v>
      </c>
      <c r="C206" s="3" t="s">
        <v>3019</v>
      </c>
      <c r="D206" s="3" t="s">
        <v>2528</v>
      </c>
      <c r="E206" s="3" t="s">
        <v>3013</v>
      </c>
      <c r="F206" s="3" t="s">
        <v>3020</v>
      </c>
      <c r="G206" s="3" t="str">
        <f>"1/A"</f>
        <v>1/A</v>
      </c>
      <c r="H206" s="3" t="str">
        <f>"31040"</f>
        <v>31040</v>
      </c>
      <c r="I206" s="3" t="s">
        <v>13</v>
      </c>
      <c r="J206" s="3" t="s">
        <v>925</v>
      </c>
      <c r="K206" s="3" t="s">
        <v>156</v>
      </c>
    </row>
    <row r="207" spans="1:11" x14ac:dyDescent="0.3">
      <c r="A207" s="4">
        <v>203</v>
      </c>
      <c r="B207" s="4" t="s">
        <v>3021</v>
      </c>
      <c r="C207" s="4" t="s">
        <v>3022</v>
      </c>
      <c r="D207" s="4" t="s">
        <v>2528</v>
      </c>
      <c r="E207" s="4" t="s">
        <v>3023</v>
      </c>
      <c r="F207" s="4" t="s">
        <v>3024</v>
      </c>
      <c r="G207" s="4" t="str">
        <f>"76"</f>
        <v>76</v>
      </c>
      <c r="H207" s="4" t="str">
        <f t="shared" ref="H207:H214" si="10">"31048"</f>
        <v>31048</v>
      </c>
      <c r="I207" s="4" t="s">
        <v>13</v>
      </c>
      <c r="J207" s="4" t="s">
        <v>926</v>
      </c>
      <c r="K207" s="4" t="s">
        <v>2309</v>
      </c>
    </row>
    <row r="208" spans="1:11" x14ac:dyDescent="0.3">
      <c r="A208" s="3">
        <v>204</v>
      </c>
      <c r="B208" s="3" t="s">
        <v>1107</v>
      </c>
      <c r="C208" s="3" t="s">
        <v>255</v>
      </c>
      <c r="D208" s="3" t="s">
        <v>2528</v>
      </c>
      <c r="E208" s="3" t="s">
        <v>3023</v>
      </c>
      <c r="F208" s="3" t="s">
        <v>3024</v>
      </c>
      <c r="G208" s="3" t="str">
        <f>"76"</f>
        <v>76</v>
      </c>
      <c r="H208" s="3" t="str">
        <f t="shared" si="10"/>
        <v>31048</v>
      </c>
      <c r="I208" s="3" t="s">
        <v>13</v>
      </c>
      <c r="J208" s="3" t="s">
        <v>925</v>
      </c>
      <c r="K208" s="3" t="s">
        <v>14</v>
      </c>
    </row>
    <row r="209" spans="1:11" x14ac:dyDescent="0.3">
      <c r="A209" s="3">
        <v>205</v>
      </c>
      <c r="B209" s="3" t="s">
        <v>3025</v>
      </c>
      <c r="C209" s="3" t="s">
        <v>3026</v>
      </c>
      <c r="D209" s="3" t="s">
        <v>2528</v>
      </c>
      <c r="E209" s="3" t="s">
        <v>3023</v>
      </c>
      <c r="F209" s="3" t="s">
        <v>2360</v>
      </c>
      <c r="G209" s="3" t="str">
        <f>"42"</f>
        <v>42</v>
      </c>
      <c r="H209" s="3" t="str">
        <f t="shared" si="10"/>
        <v>31048</v>
      </c>
      <c r="I209" s="3" t="s">
        <v>13</v>
      </c>
      <c r="J209" s="3" t="s">
        <v>925</v>
      </c>
      <c r="K209" s="3" t="s">
        <v>3027</v>
      </c>
    </row>
    <row r="210" spans="1:11" x14ac:dyDescent="0.3">
      <c r="A210" s="3">
        <v>206</v>
      </c>
      <c r="B210" s="3" t="s">
        <v>3028</v>
      </c>
      <c r="C210" s="3" t="s">
        <v>3029</v>
      </c>
      <c r="D210" s="3" t="s">
        <v>2528</v>
      </c>
      <c r="E210" s="3" t="s">
        <v>3023</v>
      </c>
      <c r="F210" s="3" t="s">
        <v>3030</v>
      </c>
      <c r="G210" s="3" t="str">
        <f>"33"</f>
        <v>33</v>
      </c>
      <c r="H210" s="3" t="str">
        <f t="shared" si="10"/>
        <v>31048</v>
      </c>
      <c r="I210" s="3" t="s">
        <v>13</v>
      </c>
      <c r="J210" s="3" t="s">
        <v>925</v>
      </c>
      <c r="K210" s="3" t="s">
        <v>125</v>
      </c>
    </row>
    <row r="211" spans="1:11" x14ac:dyDescent="0.3">
      <c r="A211" s="3">
        <v>207</v>
      </c>
      <c r="B211" s="3" t="s">
        <v>3031</v>
      </c>
      <c r="C211" s="3" t="s">
        <v>3032</v>
      </c>
      <c r="D211" s="3" t="s">
        <v>2528</v>
      </c>
      <c r="E211" s="3" t="s">
        <v>3023</v>
      </c>
      <c r="F211" s="3" t="s">
        <v>3033</v>
      </c>
      <c r="G211" s="3" t="str">
        <f>"18"</f>
        <v>18</v>
      </c>
      <c r="H211" s="3" t="str">
        <f t="shared" si="10"/>
        <v>31048</v>
      </c>
      <c r="I211" s="3" t="s">
        <v>13</v>
      </c>
      <c r="J211" s="3" t="s">
        <v>925</v>
      </c>
      <c r="K211" s="3" t="s">
        <v>58</v>
      </c>
    </row>
    <row r="212" spans="1:11" x14ac:dyDescent="0.3">
      <c r="A212" s="15">
        <v>208</v>
      </c>
      <c r="B212" s="15" t="s">
        <v>3034</v>
      </c>
      <c r="C212" s="15" t="s">
        <v>3035</v>
      </c>
      <c r="D212" s="15" t="s">
        <v>2528</v>
      </c>
      <c r="E212" s="15" t="s">
        <v>3023</v>
      </c>
      <c r="F212" s="15" t="s">
        <v>3024</v>
      </c>
      <c r="G212" s="15" t="str">
        <f>"76"</f>
        <v>76</v>
      </c>
      <c r="H212" s="15" t="str">
        <f t="shared" si="10"/>
        <v>31048</v>
      </c>
      <c r="I212" s="15" t="s">
        <v>13</v>
      </c>
      <c r="J212" s="15" t="s">
        <v>927</v>
      </c>
      <c r="K212" s="15" t="s">
        <v>14</v>
      </c>
    </row>
    <row r="213" spans="1:11" x14ac:dyDescent="0.3">
      <c r="A213" s="3">
        <v>209</v>
      </c>
      <c r="B213" s="3" t="s">
        <v>3036</v>
      </c>
      <c r="C213" s="3" t="s">
        <v>3037</v>
      </c>
      <c r="D213" s="3" t="s">
        <v>2528</v>
      </c>
      <c r="E213" s="3" t="s">
        <v>3023</v>
      </c>
      <c r="F213" s="3" t="s">
        <v>3024</v>
      </c>
      <c r="G213" s="3" t="str">
        <f>"130"</f>
        <v>130</v>
      </c>
      <c r="H213" s="3" t="str">
        <f t="shared" si="10"/>
        <v>31048</v>
      </c>
      <c r="I213" s="3" t="s">
        <v>13</v>
      </c>
      <c r="J213" s="3" t="s">
        <v>925</v>
      </c>
      <c r="K213" s="3" t="s">
        <v>14</v>
      </c>
    </row>
    <row r="214" spans="1:11" x14ac:dyDescent="0.3">
      <c r="A214" s="4">
        <v>210</v>
      </c>
      <c r="B214" s="4" t="s">
        <v>3038</v>
      </c>
      <c r="C214" s="4" t="s">
        <v>3039</v>
      </c>
      <c r="D214" s="4" t="s">
        <v>2528</v>
      </c>
      <c r="E214" s="4" t="s">
        <v>3023</v>
      </c>
      <c r="F214" s="4" t="s">
        <v>3024</v>
      </c>
      <c r="G214" s="4" t="str">
        <f>"76"</f>
        <v>76</v>
      </c>
      <c r="H214" s="4" t="str">
        <f t="shared" si="10"/>
        <v>31048</v>
      </c>
      <c r="I214" s="4" t="s">
        <v>13</v>
      </c>
      <c r="J214" s="4" t="s">
        <v>926</v>
      </c>
      <c r="K214" s="4" t="s">
        <v>14</v>
      </c>
    </row>
    <row r="215" spans="1:11" x14ac:dyDescent="0.3">
      <c r="A215" s="3">
        <v>211</v>
      </c>
      <c r="B215" s="3" t="s">
        <v>2637</v>
      </c>
      <c r="C215" s="3" t="s">
        <v>3040</v>
      </c>
      <c r="D215" s="3" t="s">
        <v>2528</v>
      </c>
      <c r="E215" s="3" t="s">
        <v>3041</v>
      </c>
      <c r="F215" s="3" t="s">
        <v>3042</v>
      </c>
      <c r="G215" s="3" t="str">
        <f>"46"</f>
        <v>46</v>
      </c>
      <c r="H215" s="3" t="str">
        <f t="shared" ref="H215:H223" si="11">"31020"</f>
        <v>31020</v>
      </c>
      <c r="I215" s="3" t="s">
        <v>13</v>
      </c>
      <c r="J215" s="3" t="s">
        <v>925</v>
      </c>
      <c r="K215" s="3" t="s">
        <v>27</v>
      </c>
    </row>
    <row r="216" spans="1:11" x14ac:dyDescent="0.3">
      <c r="A216" s="3">
        <v>212</v>
      </c>
      <c r="B216" s="3" t="s">
        <v>3043</v>
      </c>
      <c r="C216" s="3" t="s">
        <v>3044</v>
      </c>
      <c r="D216" s="3" t="s">
        <v>2528</v>
      </c>
      <c r="E216" s="3" t="s">
        <v>3041</v>
      </c>
      <c r="F216" s="3" t="s">
        <v>3045</v>
      </c>
      <c r="G216" s="3" t="str">
        <f>"1"</f>
        <v>1</v>
      </c>
      <c r="H216" s="3" t="str">
        <f t="shared" si="11"/>
        <v>31020</v>
      </c>
      <c r="I216" s="3" t="s">
        <v>13</v>
      </c>
      <c r="J216" s="3" t="s">
        <v>925</v>
      </c>
      <c r="K216" s="3" t="s">
        <v>43</v>
      </c>
    </row>
    <row r="217" spans="1:11" x14ac:dyDescent="0.3">
      <c r="A217" s="3">
        <v>213</v>
      </c>
      <c r="B217" s="3" t="s">
        <v>3046</v>
      </c>
      <c r="C217" s="3" t="s">
        <v>3047</v>
      </c>
      <c r="D217" s="3" t="s">
        <v>2528</v>
      </c>
      <c r="E217" s="3" t="s">
        <v>3041</v>
      </c>
      <c r="F217" s="3" t="s">
        <v>51</v>
      </c>
      <c r="G217" s="3" t="str">
        <f>"51"</f>
        <v>51</v>
      </c>
      <c r="H217" s="3" t="str">
        <f t="shared" si="11"/>
        <v>31020</v>
      </c>
      <c r="I217" s="3" t="s">
        <v>13</v>
      </c>
      <c r="J217" s="3" t="s">
        <v>925</v>
      </c>
      <c r="K217" s="3" t="s">
        <v>139</v>
      </c>
    </row>
    <row r="218" spans="1:11" x14ac:dyDescent="0.3">
      <c r="A218" s="15">
        <v>214</v>
      </c>
      <c r="B218" s="15" t="s">
        <v>1000</v>
      </c>
      <c r="C218" s="15" t="s">
        <v>3048</v>
      </c>
      <c r="D218" s="15" t="s">
        <v>2528</v>
      </c>
      <c r="E218" s="15" t="s">
        <v>3041</v>
      </c>
      <c r="F218" s="15" t="s">
        <v>3049</v>
      </c>
      <c r="G218" s="15" t="str">
        <f>"5"</f>
        <v>5</v>
      </c>
      <c r="H218" s="15" t="str">
        <f t="shared" si="11"/>
        <v>31020</v>
      </c>
      <c r="I218" s="15" t="s">
        <v>13</v>
      </c>
      <c r="J218" s="15" t="s">
        <v>927</v>
      </c>
      <c r="K218" s="15" t="s">
        <v>14</v>
      </c>
    </row>
    <row r="219" spans="1:11" x14ac:dyDescent="0.3">
      <c r="A219" s="3">
        <v>215</v>
      </c>
      <c r="B219" s="3" t="s">
        <v>3050</v>
      </c>
      <c r="C219" s="3" t="s">
        <v>3051</v>
      </c>
      <c r="D219" s="3" t="s">
        <v>2528</v>
      </c>
      <c r="E219" s="3" t="s">
        <v>3052</v>
      </c>
      <c r="F219" s="3" t="s">
        <v>3053</v>
      </c>
      <c r="G219" s="3" t="str">
        <f>"56/A-B"</f>
        <v>56/A-B</v>
      </c>
      <c r="H219" s="3" t="str">
        <f t="shared" si="11"/>
        <v>31020</v>
      </c>
      <c r="I219" s="3" t="s">
        <v>13</v>
      </c>
      <c r="J219" s="3" t="s">
        <v>925</v>
      </c>
      <c r="K219" s="3" t="s">
        <v>27</v>
      </c>
    </row>
    <row r="220" spans="1:11" x14ac:dyDescent="0.3">
      <c r="A220" s="3">
        <v>216</v>
      </c>
      <c r="B220" s="3" t="s">
        <v>3054</v>
      </c>
      <c r="C220" s="3" t="s">
        <v>3055</v>
      </c>
      <c r="D220" s="3" t="s">
        <v>2528</v>
      </c>
      <c r="E220" s="3" t="s">
        <v>3052</v>
      </c>
      <c r="F220" s="3" t="s">
        <v>3053</v>
      </c>
      <c r="G220" s="3" t="str">
        <f>"77/D"</f>
        <v>77/D</v>
      </c>
      <c r="H220" s="3" t="str">
        <f t="shared" si="11"/>
        <v>31020</v>
      </c>
      <c r="I220" s="3" t="s">
        <v>13</v>
      </c>
      <c r="J220" s="3" t="s">
        <v>925</v>
      </c>
      <c r="K220" s="3" t="s">
        <v>14</v>
      </c>
    </row>
    <row r="221" spans="1:11" x14ac:dyDescent="0.3">
      <c r="A221" s="3">
        <v>217</v>
      </c>
      <c r="B221" s="3" t="s">
        <v>3056</v>
      </c>
      <c r="C221" s="3" t="s">
        <v>3057</v>
      </c>
      <c r="D221" s="3" t="s">
        <v>2528</v>
      </c>
      <c r="E221" s="3" t="s">
        <v>3058</v>
      </c>
      <c r="F221" s="3" t="s">
        <v>3059</v>
      </c>
      <c r="G221" s="3" t="str">
        <f>"96"</f>
        <v>96</v>
      </c>
      <c r="H221" s="3" t="str">
        <f t="shared" si="11"/>
        <v>31020</v>
      </c>
      <c r="I221" s="3" t="s">
        <v>13</v>
      </c>
      <c r="J221" s="3" t="s">
        <v>925</v>
      </c>
      <c r="K221" s="3" t="s">
        <v>14</v>
      </c>
    </row>
    <row r="222" spans="1:11" x14ac:dyDescent="0.3">
      <c r="A222" s="3">
        <v>218</v>
      </c>
      <c r="B222" s="3" t="s">
        <v>2687</v>
      </c>
      <c r="C222" s="3" t="s">
        <v>3060</v>
      </c>
      <c r="D222" s="3" t="s">
        <v>2528</v>
      </c>
      <c r="E222" s="3" t="s">
        <v>3058</v>
      </c>
      <c r="F222" s="3" t="s">
        <v>3061</v>
      </c>
      <c r="G222" s="3" t="str">
        <f>"20"</f>
        <v>20</v>
      </c>
      <c r="H222" s="3" t="str">
        <f t="shared" si="11"/>
        <v>31020</v>
      </c>
      <c r="I222" s="3" t="s">
        <v>13</v>
      </c>
      <c r="J222" s="3" t="s">
        <v>925</v>
      </c>
      <c r="K222" s="3" t="s">
        <v>165</v>
      </c>
    </row>
    <row r="223" spans="1:11" x14ac:dyDescent="0.3">
      <c r="A223" s="15">
        <v>219</v>
      </c>
      <c r="B223" s="15" t="s">
        <v>1000</v>
      </c>
      <c r="C223" s="15" t="s">
        <v>3062</v>
      </c>
      <c r="D223" s="15" t="s">
        <v>2528</v>
      </c>
      <c r="E223" s="15" t="s">
        <v>3058</v>
      </c>
      <c r="F223" s="15" t="s">
        <v>3063</v>
      </c>
      <c r="G223" s="15" t="str">
        <f>"24"</f>
        <v>24</v>
      </c>
      <c r="H223" s="15" t="str">
        <f t="shared" si="11"/>
        <v>31020</v>
      </c>
      <c r="I223" s="15" t="s">
        <v>13</v>
      </c>
      <c r="J223" s="15" t="s">
        <v>927</v>
      </c>
      <c r="K223" s="15" t="s">
        <v>20</v>
      </c>
    </row>
    <row r="224" spans="1:11" x14ac:dyDescent="0.3">
      <c r="A224" s="3">
        <v>220</v>
      </c>
      <c r="B224" s="3" t="s">
        <v>3064</v>
      </c>
      <c r="C224" s="3" t="s">
        <v>3065</v>
      </c>
      <c r="D224" s="3" t="s">
        <v>2528</v>
      </c>
      <c r="E224" s="3" t="s">
        <v>3066</v>
      </c>
      <c r="F224" s="3" t="s">
        <v>3067</v>
      </c>
      <c r="G224" s="3" t="str">
        <f>"56"</f>
        <v>56</v>
      </c>
      <c r="H224" s="3" t="str">
        <f>"31025"</f>
        <v>31025</v>
      </c>
      <c r="I224" s="3" t="s">
        <v>13</v>
      </c>
      <c r="J224" s="3" t="s">
        <v>925</v>
      </c>
      <c r="K224" s="3" t="s">
        <v>224</v>
      </c>
    </row>
    <row r="225" spans="1:11" x14ac:dyDescent="0.3">
      <c r="A225" s="3">
        <v>221</v>
      </c>
      <c r="B225" s="3" t="s">
        <v>3068</v>
      </c>
      <c r="C225" s="3" t="s">
        <v>3069</v>
      </c>
      <c r="D225" s="3" t="s">
        <v>2528</v>
      </c>
      <c r="E225" s="3" t="s">
        <v>3066</v>
      </c>
      <c r="F225" s="3" t="s">
        <v>61</v>
      </c>
      <c r="G225" s="3" t="str">
        <f>"87"</f>
        <v>87</v>
      </c>
      <c r="H225" s="3" t="str">
        <f>"31025"</f>
        <v>31025</v>
      </c>
      <c r="I225" s="3" t="s">
        <v>13</v>
      </c>
      <c r="J225" s="3" t="s">
        <v>925</v>
      </c>
      <c r="K225" s="3" t="s">
        <v>14</v>
      </c>
    </row>
    <row r="226" spans="1:11" x14ac:dyDescent="0.3">
      <c r="A226" s="3">
        <v>222</v>
      </c>
      <c r="B226" s="3" t="s">
        <v>3070</v>
      </c>
      <c r="C226" s="3" t="s">
        <v>3071</v>
      </c>
      <c r="D226" s="3" t="s">
        <v>2528</v>
      </c>
      <c r="E226" s="3" t="s">
        <v>3066</v>
      </c>
      <c r="F226" s="3" t="s">
        <v>3072</v>
      </c>
      <c r="G226" s="3" t="str">
        <f>"52"</f>
        <v>52</v>
      </c>
      <c r="H226" s="3" t="str">
        <f>"31025"</f>
        <v>31025</v>
      </c>
      <c r="I226" s="3" t="s">
        <v>13</v>
      </c>
      <c r="J226" s="3" t="s">
        <v>925</v>
      </c>
      <c r="K226" s="3" t="s">
        <v>398</v>
      </c>
    </row>
    <row r="227" spans="1:11" x14ac:dyDescent="0.3">
      <c r="A227" s="4">
        <v>223</v>
      </c>
      <c r="B227" s="4" t="s">
        <v>3073</v>
      </c>
      <c r="C227" s="4" t="s">
        <v>3074</v>
      </c>
      <c r="D227" s="4" t="s">
        <v>2528</v>
      </c>
      <c r="E227" s="4" t="s">
        <v>3066</v>
      </c>
      <c r="F227" s="4" t="s">
        <v>3075</v>
      </c>
      <c r="G227" s="4" t="str">
        <f>"34"</f>
        <v>34</v>
      </c>
      <c r="H227" s="4" t="str">
        <f>"31025"</f>
        <v>31025</v>
      </c>
      <c r="I227" s="4" t="s">
        <v>13</v>
      </c>
      <c r="J227" s="4" t="s">
        <v>926</v>
      </c>
      <c r="K227" s="4" t="s">
        <v>14</v>
      </c>
    </row>
    <row r="228" spans="1:11" x14ac:dyDescent="0.3">
      <c r="A228" s="3">
        <v>224</v>
      </c>
      <c r="B228" s="3" t="s">
        <v>3076</v>
      </c>
      <c r="C228" s="3" t="s">
        <v>3077</v>
      </c>
      <c r="D228" s="3" t="s">
        <v>2528</v>
      </c>
      <c r="E228" s="3" t="s">
        <v>3078</v>
      </c>
      <c r="F228" s="3" t="s">
        <v>3079</v>
      </c>
      <c r="G228" s="3" t="str">
        <f>"16"</f>
        <v>16</v>
      </c>
      <c r="H228" s="3" t="str">
        <f>"31020"</f>
        <v>31020</v>
      </c>
      <c r="I228" s="3" t="s">
        <v>13</v>
      </c>
      <c r="J228" s="3" t="s">
        <v>925</v>
      </c>
      <c r="K228" s="3" t="s">
        <v>36</v>
      </c>
    </row>
    <row r="229" spans="1:11" x14ac:dyDescent="0.3">
      <c r="A229" s="3">
        <v>225</v>
      </c>
      <c r="B229" s="3" t="s">
        <v>1107</v>
      </c>
      <c r="C229" s="3" t="s">
        <v>255</v>
      </c>
      <c r="D229" s="3" t="s">
        <v>2528</v>
      </c>
      <c r="E229" s="3" t="s">
        <v>3080</v>
      </c>
      <c r="F229" s="3" t="s">
        <v>3081</v>
      </c>
      <c r="G229" s="3" t="str">
        <f>"8"</f>
        <v>8</v>
      </c>
      <c r="H229" s="3" t="str">
        <f t="shared" ref="H229:H235" si="12">"31057"</f>
        <v>31057</v>
      </c>
      <c r="I229" s="3" t="s">
        <v>13</v>
      </c>
      <c r="J229" s="3" t="s">
        <v>925</v>
      </c>
      <c r="K229" s="3" t="s">
        <v>14</v>
      </c>
    </row>
    <row r="230" spans="1:11" x14ac:dyDescent="0.3">
      <c r="A230" s="4">
        <v>226</v>
      </c>
      <c r="B230" s="4" t="s">
        <v>3082</v>
      </c>
      <c r="C230" s="4" t="s">
        <v>3083</v>
      </c>
      <c r="D230" s="4" t="s">
        <v>2528</v>
      </c>
      <c r="E230" s="4" t="s">
        <v>3080</v>
      </c>
      <c r="F230" s="4" t="s">
        <v>278</v>
      </c>
      <c r="G230" s="4" t="str">
        <f>"19"</f>
        <v>19</v>
      </c>
      <c r="H230" s="4" t="str">
        <f t="shared" si="12"/>
        <v>31057</v>
      </c>
      <c r="I230" s="4" t="s">
        <v>13</v>
      </c>
      <c r="J230" s="4" t="s">
        <v>926</v>
      </c>
      <c r="K230" s="4" t="s">
        <v>342</v>
      </c>
    </row>
    <row r="231" spans="1:11" x14ac:dyDescent="0.3">
      <c r="A231" s="3">
        <v>227</v>
      </c>
      <c r="B231" s="3" t="s">
        <v>3084</v>
      </c>
      <c r="C231" s="3" t="s">
        <v>3085</v>
      </c>
      <c r="D231" s="3" t="s">
        <v>2528</v>
      </c>
      <c r="E231" s="3" t="s">
        <v>3080</v>
      </c>
      <c r="F231" s="3" t="s">
        <v>3086</v>
      </c>
      <c r="G231" s="3" t="str">
        <f>"67"</f>
        <v>67</v>
      </c>
      <c r="H231" s="3" t="str">
        <f t="shared" si="12"/>
        <v>31057</v>
      </c>
      <c r="I231" s="3" t="s">
        <v>13</v>
      </c>
      <c r="J231" s="3" t="s">
        <v>925</v>
      </c>
      <c r="K231" s="3" t="s">
        <v>14</v>
      </c>
    </row>
    <row r="232" spans="1:11" x14ac:dyDescent="0.3">
      <c r="A232" s="3">
        <v>228</v>
      </c>
      <c r="B232" s="3" t="s">
        <v>3087</v>
      </c>
      <c r="C232" s="3" t="s">
        <v>3088</v>
      </c>
      <c r="D232" s="3" t="s">
        <v>2528</v>
      </c>
      <c r="E232" s="3" t="s">
        <v>3080</v>
      </c>
      <c r="F232" s="3" t="s">
        <v>3089</v>
      </c>
      <c r="G232" s="3" t="str">
        <f>"73"</f>
        <v>73</v>
      </c>
      <c r="H232" s="3" t="str">
        <f t="shared" si="12"/>
        <v>31057</v>
      </c>
      <c r="I232" s="3" t="s">
        <v>13</v>
      </c>
      <c r="J232" s="3" t="s">
        <v>925</v>
      </c>
      <c r="K232" s="3" t="s">
        <v>36</v>
      </c>
    </row>
    <row r="233" spans="1:11" x14ac:dyDescent="0.3">
      <c r="A233" s="3">
        <v>229</v>
      </c>
      <c r="B233" s="3" t="s">
        <v>3090</v>
      </c>
      <c r="C233" s="3" t="s">
        <v>3091</v>
      </c>
      <c r="D233" s="3" t="s">
        <v>2528</v>
      </c>
      <c r="E233" s="3" t="s">
        <v>3080</v>
      </c>
      <c r="F233" s="3" t="s">
        <v>3089</v>
      </c>
      <c r="G233" s="3" t="str">
        <f>"83"</f>
        <v>83</v>
      </c>
      <c r="H233" s="3" t="str">
        <f t="shared" si="12"/>
        <v>31057</v>
      </c>
      <c r="I233" s="3" t="s">
        <v>13</v>
      </c>
      <c r="J233" s="3" t="s">
        <v>925</v>
      </c>
      <c r="K233" s="3" t="s">
        <v>14</v>
      </c>
    </row>
    <row r="234" spans="1:11" x14ac:dyDescent="0.3">
      <c r="A234" s="3">
        <v>230</v>
      </c>
      <c r="B234" s="3" t="s">
        <v>3092</v>
      </c>
      <c r="C234" s="3" t="s">
        <v>3093</v>
      </c>
      <c r="D234" s="3" t="s">
        <v>2528</v>
      </c>
      <c r="E234" s="3" t="s">
        <v>3080</v>
      </c>
      <c r="F234" s="3" t="s">
        <v>3094</v>
      </c>
      <c r="G234" s="3" t="str">
        <f>"3"</f>
        <v>3</v>
      </c>
      <c r="H234" s="3" t="str">
        <f t="shared" si="12"/>
        <v>31057</v>
      </c>
      <c r="I234" s="3" t="s">
        <v>13</v>
      </c>
      <c r="J234" s="3" t="s">
        <v>925</v>
      </c>
      <c r="K234" s="3" t="s">
        <v>14</v>
      </c>
    </row>
    <row r="235" spans="1:11" x14ac:dyDescent="0.3">
      <c r="A235" s="15">
        <v>231</v>
      </c>
      <c r="B235" s="15" t="s">
        <v>1000</v>
      </c>
      <c r="C235" s="15" t="s">
        <v>3095</v>
      </c>
      <c r="D235" s="15" t="s">
        <v>2528</v>
      </c>
      <c r="E235" s="15" t="s">
        <v>3080</v>
      </c>
      <c r="F235" s="15" t="s">
        <v>3096</v>
      </c>
      <c r="G235" s="15" t="str">
        <f>"5"</f>
        <v>5</v>
      </c>
      <c r="H235" s="15" t="str">
        <f t="shared" si="12"/>
        <v>31057</v>
      </c>
      <c r="I235" s="15" t="s">
        <v>13</v>
      </c>
      <c r="J235" s="15" t="s">
        <v>927</v>
      </c>
      <c r="K235" s="15" t="s">
        <v>1701</v>
      </c>
    </row>
    <row r="236" spans="1:11" x14ac:dyDescent="0.3">
      <c r="A236" s="4">
        <v>232</v>
      </c>
      <c r="B236" s="4" t="s">
        <v>3097</v>
      </c>
      <c r="C236" s="4" t="s">
        <v>3098</v>
      </c>
      <c r="D236" s="4" t="s">
        <v>2528</v>
      </c>
      <c r="E236" s="4" t="s">
        <v>3099</v>
      </c>
      <c r="F236" s="4" t="s">
        <v>2108</v>
      </c>
      <c r="G236" s="4" t="str">
        <f>"26"</f>
        <v>26</v>
      </c>
      <c r="H236" s="4" t="str">
        <f t="shared" ref="H236:H241" si="13">"31027"</f>
        <v>31027</v>
      </c>
      <c r="I236" s="4" t="s">
        <v>13</v>
      </c>
      <c r="J236" s="4" t="s">
        <v>926</v>
      </c>
      <c r="K236" s="4" t="s">
        <v>14</v>
      </c>
    </row>
    <row r="237" spans="1:11" x14ac:dyDescent="0.3">
      <c r="A237" s="15">
        <v>233</v>
      </c>
      <c r="B237" s="15" t="s">
        <v>931</v>
      </c>
      <c r="C237" s="15" t="s">
        <v>54</v>
      </c>
      <c r="D237" s="15" t="s">
        <v>2528</v>
      </c>
      <c r="E237" s="15" t="s">
        <v>3099</v>
      </c>
      <c r="F237" s="15" t="s">
        <v>3100</v>
      </c>
      <c r="G237" s="15" t="str">
        <f>"2/12"</f>
        <v>2/12</v>
      </c>
      <c r="H237" s="15" t="str">
        <f t="shared" si="13"/>
        <v>31027</v>
      </c>
      <c r="I237" s="15" t="s">
        <v>13</v>
      </c>
      <c r="J237" s="15" t="s">
        <v>927</v>
      </c>
      <c r="K237" s="15" t="s">
        <v>14</v>
      </c>
    </row>
    <row r="238" spans="1:11" x14ac:dyDescent="0.3">
      <c r="A238" s="4">
        <v>234</v>
      </c>
      <c r="B238" s="4" t="s">
        <v>3101</v>
      </c>
      <c r="C238" s="4" t="s">
        <v>463</v>
      </c>
      <c r="D238" s="4" t="s">
        <v>2528</v>
      </c>
      <c r="E238" s="4" t="s">
        <v>3099</v>
      </c>
      <c r="F238" s="4" t="s">
        <v>3102</v>
      </c>
      <c r="G238" s="4" t="str">
        <f>"7"</f>
        <v>7</v>
      </c>
      <c r="H238" s="4" t="str">
        <f t="shared" si="13"/>
        <v>31027</v>
      </c>
      <c r="I238" s="4" t="s">
        <v>13</v>
      </c>
      <c r="J238" s="4" t="s">
        <v>926</v>
      </c>
      <c r="K238" s="4" t="s">
        <v>43</v>
      </c>
    </row>
    <row r="239" spans="1:11" x14ac:dyDescent="0.3">
      <c r="A239" s="3">
        <v>235</v>
      </c>
      <c r="B239" s="3" t="s">
        <v>3103</v>
      </c>
      <c r="C239" s="3" t="s">
        <v>3104</v>
      </c>
      <c r="D239" s="3" t="s">
        <v>2528</v>
      </c>
      <c r="E239" s="3" t="s">
        <v>3099</v>
      </c>
      <c r="F239" s="3" t="s">
        <v>3105</v>
      </c>
      <c r="G239" s="3" t="str">
        <f>"9"</f>
        <v>9</v>
      </c>
      <c r="H239" s="3" t="str">
        <f t="shared" si="13"/>
        <v>31027</v>
      </c>
      <c r="I239" s="3" t="s">
        <v>13</v>
      </c>
      <c r="J239" s="3" t="s">
        <v>925</v>
      </c>
      <c r="K239" s="3" t="s">
        <v>14</v>
      </c>
    </row>
    <row r="240" spans="1:11" x14ac:dyDescent="0.3">
      <c r="A240" s="3">
        <v>236</v>
      </c>
      <c r="B240" s="3" t="s">
        <v>3106</v>
      </c>
      <c r="C240" s="3" t="s">
        <v>3107</v>
      </c>
      <c r="D240" s="3" t="s">
        <v>2528</v>
      </c>
      <c r="E240" s="3" t="s">
        <v>3099</v>
      </c>
      <c r="F240" s="3" t="s">
        <v>3108</v>
      </c>
      <c r="G240" s="3" t="str">
        <f>"7"</f>
        <v>7</v>
      </c>
      <c r="H240" s="3" t="str">
        <f t="shared" si="13"/>
        <v>31027</v>
      </c>
      <c r="I240" s="3" t="s">
        <v>13</v>
      </c>
      <c r="J240" s="3" t="s">
        <v>925</v>
      </c>
      <c r="K240" s="3" t="s">
        <v>14</v>
      </c>
    </row>
    <row r="241" spans="1:11" x14ac:dyDescent="0.3">
      <c r="A241" s="3">
        <v>237</v>
      </c>
      <c r="B241" s="3" t="s">
        <v>3109</v>
      </c>
      <c r="C241" s="3" t="s">
        <v>3110</v>
      </c>
      <c r="D241" s="3" t="s">
        <v>2528</v>
      </c>
      <c r="E241" s="3" t="s">
        <v>3099</v>
      </c>
      <c r="F241" s="3" t="s">
        <v>2108</v>
      </c>
      <c r="G241" s="3" t="str">
        <f>"51"</f>
        <v>51</v>
      </c>
      <c r="H241" s="3" t="str">
        <f t="shared" si="13"/>
        <v>31027</v>
      </c>
      <c r="I241" s="3" t="s">
        <v>13</v>
      </c>
      <c r="J241" s="3" t="s">
        <v>925</v>
      </c>
      <c r="K241" s="3" t="s">
        <v>1652</v>
      </c>
    </row>
    <row r="242" spans="1:11" x14ac:dyDescent="0.3">
      <c r="A242" s="3">
        <v>238</v>
      </c>
      <c r="B242" s="3" t="s">
        <v>3111</v>
      </c>
      <c r="C242" s="3" t="s">
        <v>3112</v>
      </c>
      <c r="D242" s="3" t="s">
        <v>2528</v>
      </c>
      <c r="E242" s="3" t="s">
        <v>3113</v>
      </c>
      <c r="F242" s="3" t="s">
        <v>3114</v>
      </c>
      <c r="G242" s="3" t="str">
        <f>"34"</f>
        <v>34</v>
      </c>
      <c r="H242" s="3" t="str">
        <f t="shared" ref="H242:H247" si="14">"31058"</f>
        <v>31058</v>
      </c>
      <c r="I242" s="3" t="s">
        <v>13</v>
      </c>
      <c r="J242" s="3" t="s">
        <v>925</v>
      </c>
      <c r="K242" s="3" t="s">
        <v>3115</v>
      </c>
    </row>
    <row r="243" spans="1:11" x14ac:dyDescent="0.3">
      <c r="A243" s="3">
        <v>239</v>
      </c>
      <c r="B243" s="3" t="s">
        <v>3116</v>
      </c>
      <c r="C243" s="3" t="s">
        <v>3117</v>
      </c>
      <c r="D243" s="3" t="s">
        <v>2528</v>
      </c>
      <c r="E243" s="3" t="s">
        <v>3113</v>
      </c>
      <c r="F243" s="3" t="s">
        <v>26</v>
      </c>
      <c r="G243" s="3" t="str">
        <f>"42/H"</f>
        <v>42/H</v>
      </c>
      <c r="H243" s="3" t="str">
        <f t="shared" si="14"/>
        <v>31058</v>
      </c>
      <c r="I243" s="3" t="s">
        <v>13</v>
      </c>
      <c r="J243" s="3" t="s">
        <v>925</v>
      </c>
      <c r="K243" s="3" t="s">
        <v>235</v>
      </c>
    </row>
    <row r="244" spans="1:11" x14ac:dyDescent="0.3">
      <c r="A244" s="3">
        <v>240</v>
      </c>
      <c r="B244" s="3" t="s">
        <v>3118</v>
      </c>
      <c r="C244" s="3" t="s">
        <v>609</v>
      </c>
      <c r="D244" s="3" t="s">
        <v>2528</v>
      </c>
      <c r="E244" s="3" t="s">
        <v>3113</v>
      </c>
      <c r="F244" s="3" t="s">
        <v>3119</v>
      </c>
      <c r="G244" s="3" t="str">
        <f>"1/D"</f>
        <v>1/D</v>
      </c>
      <c r="H244" s="3" t="str">
        <f t="shared" si="14"/>
        <v>31058</v>
      </c>
      <c r="I244" s="3" t="s">
        <v>13</v>
      </c>
      <c r="J244" s="3" t="s">
        <v>925</v>
      </c>
      <c r="K244" s="3" t="s">
        <v>14</v>
      </c>
    </row>
    <row r="245" spans="1:11" x14ac:dyDescent="0.3">
      <c r="A245" s="6">
        <v>241</v>
      </c>
      <c r="B245" s="6" t="s">
        <v>3120</v>
      </c>
      <c r="C245" s="6" t="s">
        <v>3121</v>
      </c>
      <c r="D245" s="6" t="s">
        <v>2528</v>
      </c>
      <c r="E245" s="6" t="s">
        <v>3113</v>
      </c>
      <c r="F245" s="6" t="s">
        <v>3122</v>
      </c>
      <c r="G245" s="6" t="str">
        <f>"59"</f>
        <v>59</v>
      </c>
      <c r="H245" s="6" t="str">
        <f t="shared" si="14"/>
        <v>31058</v>
      </c>
      <c r="I245" s="6" t="s">
        <v>13</v>
      </c>
      <c r="J245" s="6" t="s">
        <v>3123</v>
      </c>
      <c r="K245" s="6" t="s">
        <v>14</v>
      </c>
    </row>
    <row r="246" spans="1:11" x14ac:dyDescent="0.3">
      <c r="A246" s="3">
        <v>242</v>
      </c>
      <c r="B246" s="3" t="s">
        <v>3124</v>
      </c>
      <c r="C246" s="3" t="s">
        <v>1958</v>
      </c>
      <c r="D246" s="3" t="s">
        <v>2528</v>
      </c>
      <c r="E246" s="3" t="s">
        <v>3113</v>
      </c>
      <c r="F246" s="3" t="s">
        <v>26</v>
      </c>
      <c r="G246" s="3" t="str">
        <f>"11"</f>
        <v>11</v>
      </c>
      <c r="H246" s="3" t="str">
        <f t="shared" si="14"/>
        <v>31058</v>
      </c>
      <c r="I246" s="3" t="s">
        <v>13</v>
      </c>
      <c r="J246" s="3" t="s">
        <v>925</v>
      </c>
      <c r="K246" s="3" t="s">
        <v>265</v>
      </c>
    </row>
    <row r="247" spans="1:11" x14ac:dyDescent="0.3">
      <c r="A247" s="4">
        <v>243</v>
      </c>
      <c r="B247" s="4" t="s">
        <v>3125</v>
      </c>
      <c r="C247" s="4" t="s">
        <v>3126</v>
      </c>
      <c r="D247" s="4" t="s">
        <v>2528</v>
      </c>
      <c r="E247" s="4" t="s">
        <v>3113</v>
      </c>
      <c r="F247" s="4" t="s">
        <v>3122</v>
      </c>
      <c r="G247" s="4" t="str">
        <f>"59"</f>
        <v>59</v>
      </c>
      <c r="H247" s="4" t="str">
        <f t="shared" si="14"/>
        <v>31058</v>
      </c>
      <c r="I247" s="4" t="s">
        <v>13</v>
      </c>
      <c r="J247" s="4" t="s">
        <v>926</v>
      </c>
      <c r="K247" s="4" t="s">
        <v>14</v>
      </c>
    </row>
    <row r="248" spans="1:11" x14ac:dyDescent="0.3">
      <c r="A248" s="3">
        <v>244</v>
      </c>
      <c r="B248" s="3" t="s">
        <v>3127</v>
      </c>
      <c r="C248" s="3" t="s">
        <v>3128</v>
      </c>
      <c r="D248" s="3" t="s">
        <v>2528</v>
      </c>
      <c r="E248" s="3" t="s">
        <v>3129</v>
      </c>
      <c r="F248" s="3" t="s">
        <v>3086</v>
      </c>
      <c r="G248" s="3" t="str">
        <f>"58"</f>
        <v>58</v>
      </c>
      <c r="H248" s="3" t="str">
        <f>"31040"</f>
        <v>31040</v>
      </c>
      <c r="I248" s="3" t="s">
        <v>13</v>
      </c>
      <c r="J248" s="3" t="s">
        <v>925</v>
      </c>
      <c r="K248" s="3" t="s">
        <v>14</v>
      </c>
    </row>
    <row r="249" spans="1:11" x14ac:dyDescent="0.3">
      <c r="A249" s="3">
        <v>245</v>
      </c>
      <c r="B249" s="3" t="s">
        <v>3130</v>
      </c>
      <c r="C249" s="3" t="s">
        <v>3131</v>
      </c>
      <c r="D249" s="3" t="s">
        <v>2528</v>
      </c>
      <c r="E249" s="3" t="s">
        <v>3129</v>
      </c>
      <c r="F249" s="3" t="s">
        <v>3132</v>
      </c>
      <c r="G249" s="3" t="str">
        <f>"5"</f>
        <v>5</v>
      </c>
      <c r="H249" s="3" t="str">
        <f>"31040"</f>
        <v>31040</v>
      </c>
      <c r="I249" s="3" t="s">
        <v>13</v>
      </c>
      <c r="J249" s="3" t="s">
        <v>925</v>
      </c>
      <c r="K249" s="3" t="s">
        <v>205</v>
      </c>
    </row>
    <row r="250" spans="1:11" x14ac:dyDescent="0.3">
      <c r="A250" s="3">
        <v>246</v>
      </c>
      <c r="B250" s="3" t="s">
        <v>3133</v>
      </c>
      <c r="C250" s="3" t="s">
        <v>3134</v>
      </c>
      <c r="D250" s="3" t="s">
        <v>2528</v>
      </c>
      <c r="E250" s="3" t="s">
        <v>3129</v>
      </c>
      <c r="F250" s="3" t="s">
        <v>26</v>
      </c>
      <c r="G250" s="3" t="str">
        <f>"31"</f>
        <v>31</v>
      </c>
      <c r="H250" s="3" t="str">
        <f>"31040"</f>
        <v>31040</v>
      </c>
      <c r="I250" s="3" t="s">
        <v>13</v>
      </c>
      <c r="J250" s="3" t="s">
        <v>925</v>
      </c>
      <c r="K250" s="3" t="s">
        <v>58</v>
      </c>
    </row>
    <row r="251" spans="1:11" x14ac:dyDescent="0.3">
      <c r="A251" s="15">
        <v>247</v>
      </c>
      <c r="B251" s="15" t="s">
        <v>3135</v>
      </c>
      <c r="C251" s="15" t="s">
        <v>3136</v>
      </c>
      <c r="D251" s="15" t="s">
        <v>2528</v>
      </c>
      <c r="E251" s="15" t="s">
        <v>3129</v>
      </c>
      <c r="F251" s="15" t="s">
        <v>3132</v>
      </c>
      <c r="G251" s="15" t="str">
        <f>"15"</f>
        <v>15</v>
      </c>
      <c r="H251" s="15" t="str">
        <f>"31040"</f>
        <v>31040</v>
      </c>
      <c r="I251" s="15" t="s">
        <v>13</v>
      </c>
      <c r="J251" s="15" t="s">
        <v>927</v>
      </c>
      <c r="K251" s="15" t="s">
        <v>20</v>
      </c>
    </row>
    <row r="252" spans="1:11" x14ac:dyDescent="0.3">
      <c r="A252" s="3">
        <v>248</v>
      </c>
      <c r="B252" s="3" t="s">
        <v>3137</v>
      </c>
      <c r="C252" s="3" t="s">
        <v>3138</v>
      </c>
      <c r="D252" s="3" t="s">
        <v>2528</v>
      </c>
      <c r="E252" s="3" t="s">
        <v>2524</v>
      </c>
      <c r="F252" s="3" t="s">
        <v>2595</v>
      </c>
      <c r="G252" s="3" t="str">
        <f>"38"</f>
        <v>38</v>
      </c>
      <c r="H252" s="3" t="str">
        <f t="shared" ref="H252:H315" si="15">"31100"</f>
        <v>31100</v>
      </c>
      <c r="I252" s="3" t="s">
        <v>13</v>
      </c>
      <c r="J252" s="3" t="s">
        <v>925</v>
      </c>
      <c r="K252" s="3" t="s">
        <v>58</v>
      </c>
    </row>
    <row r="253" spans="1:11" x14ac:dyDescent="0.3">
      <c r="A253" s="3">
        <v>249</v>
      </c>
      <c r="B253" s="3" t="s">
        <v>3139</v>
      </c>
      <c r="C253" s="3" t="s">
        <v>3140</v>
      </c>
      <c r="D253" s="3" t="s">
        <v>2528</v>
      </c>
      <c r="E253" s="3" t="s">
        <v>2524</v>
      </c>
      <c r="F253" s="3" t="s">
        <v>48</v>
      </c>
      <c r="G253" s="3" t="str">
        <f>"32"</f>
        <v>32</v>
      </c>
      <c r="H253" s="3" t="str">
        <f t="shared" si="15"/>
        <v>31100</v>
      </c>
      <c r="I253" s="3" t="s">
        <v>13</v>
      </c>
      <c r="J253" s="3" t="s">
        <v>925</v>
      </c>
      <c r="K253" s="3" t="s">
        <v>118</v>
      </c>
    </row>
    <row r="254" spans="1:11" x14ac:dyDescent="0.3">
      <c r="A254" s="3">
        <v>250</v>
      </c>
      <c r="B254" s="3" t="s">
        <v>3141</v>
      </c>
      <c r="C254" s="3" t="s">
        <v>3142</v>
      </c>
      <c r="D254" s="3" t="s">
        <v>2528</v>
      </c>
      <c r="E254" s="3" t="s">
        <v>2524</v>
      </c>
      <c r="F254" s="3" t="s">
        <v>3143</v>
      </c>
      <c r="G254" s="3" t="str">
        <f>"35"</f>
        <v>35</v>
      </c>
      <c r="H254" s="3" t="str">
        <f t="shared" si="15"/>
        <v>31100</v>
      </c>
      <c r="I254" s="3" t="s">
        <v>13</v>
      </c>
      <c r="J254" s="3" t="s">
        <v>925</v>
      </c>
      <c r="K254" s="3" t="s">
        <v>58</v>
      </c>
    </row>
    <row r="255" spans="1:11" x14ac:dyDescent="0.3">
      <c r="A255" s="3">
        <v>251</v>
      </c>
      <c r="B255" s="3" t="s">
        <v>3144</v>
      </c>
      <c r="C255" s="3" t="s">
        <v>3145</v>
      </c>
      <c r="D255" s="3" t="s">
        <v>2528</v>
      </c>
      <c r="E255" s="3" t="s">
        <v>2524</v>
      </c>
      <c r="F255" s="3" t="s">
        <v>3146</v>
      </c>
      <c r="G255" s="3" t="str">
        <f>"131"</f>
        <v>131</v>
      </c>
      <c r="H255" s="3" t="str">
        <f t="shared" si="15"/>
        <v>31100</v>
      </c>
      <c r="I255" s="3" t="s">
        <v>13</v>
      </c>
      <c r="J255" s="3" t="s">
        <v>925</v>
      </c>
      <c r="K255" s="3" t="s">
        <v>20</v>
      </c>
    </row>
    <row r="256" spans="1:11" x14ac:dyDescent="0.3">
      <c r="A256" s="16">
        <v>252</v>
      </c>
      <c r="B256" s="16" t="s">
        <v>3147</v>
      </c>
      <c r="C256" s="16" t="s">
        <v>3148</v>
      </c>
      <c r="D256" s="16" t="s">
        <v>2528</v>
      </c>
      <c r="E256" s="16" t="s">
        <v>2524</v>
      </c>
      <c r="F256" s="16" t="s">
        <v>2578</v>
      </c>
      <c r="G256" s="16" t="str">
        <f>"45/A"</f>
        <v>45/A</v>
      </c>
      <c r="H256" s="16" t="str">
        <f t="shared" si="15"/>
        <v>31100</v>
      </c>
      <c r="I256" s="16" t="s">
        <v>13</v>
      </c>
      <c r="J256" s="16" t="s">
        <v>928</v>
      </c>
      <c r="K256" s="16" t="s">
        <v>36</v>
      </c>
    </row>
    <row r="257" spans="1:11" x14ac:dyDescent="0.3">
      <c r="A257" s="4">
        <v>253</v>
      </c>
      <c r="B257" s="4" t="s">
        <v>3149</v>
      </c>
      <c r="C257" s="4" t="s">
        <v>3150</v>
      </c>
      <c r="D257" s="4" t="s">
        <v>2528</v>
      </c>
      <c r="E257" s="4" t="s">
        <v>2524</v>
      </c>
      <c r="F257" s="4" t="s">
        <v>3151</v>
      </c>
      <c r="G257" s="4" t="str">
        <f>"6"</f>
        <v>6</v>
      </c>
      <c r="H257" s="4" t="str">
        <f t="shared" si="15"/>
        <v>31100</v>
      </c>
      <c r="I257" s="4" t="s">
        <v>13</v>
      </c>
      <c r="J257" s="4" t="s">
        <v>926</v>
      </c>
      <c r="K257" s="4" t="s">
        <v>14</v>
      </c>
    </row>
    <row r="258" spans="1:11" x14ac:dyDescent="0.3">
      <c r="A258" s="15">
        <v>254</v>
      </c>
      <c r="B258" s="15" t="s">
        <v>931</v>
      </c>
      <c r="C258" s="15" t="s">
        <v>101</v>
      </c>
      <c r="D258" s="15" t="s">
        <v>2528</v>
      </c>
      <c r="E258" s="15" t="s">
        <v>2524</v>
      </c>
      <c r="F258" s="15" t="s">
        <v>3152</v>
      </c>
      <c r="G258" s="15" t="str">
        <f>"28/A"</f>
        <v>28/A</v>
      </c>
      <c r="H258" s="15" t="str">
        <f t="shared" si="15"/>
        <v>31100</v>
      </c>
      <c r="I258" s="15" t="s">
        <v>13</v>
      </c>
      <c r="J258" s="15" t="s">
        <v>927</v>
      </c>
      <c r="K258" s="15" t="s">
        <v>14</v>
      </c>
    </row>
    <row r="259" spans="1:11" x14ac:dyDescent="0.3">
      <c r="A259" s="4">
        <v>255</v>
      </c>
      <c r="B259" s="4" t="s">
        <v>3153</v>
      </c>
      <c r="C259" s="4" t="s">
        <v>3154</v>
      </c>
      <c r="D259" s="4" t="s">
        <v>2528</v>
      </c>
      <c r="E259" s="4" t="s">
        <v>2524</v>
      </c>
      <c r="F259" s="4" t="s">
        <v>3155</v>
      </c>
      <c r="G259" s="4" t="str">
        <f>"106/C"</f>
        <v>106/C</v>
      </c>
      <c r="H259" s="4" t="str">
        <f t="shared" si="15"/>
        <v>31100</v>
      </c>
      <c r="I259" s="4" t="s">
        <v>13</v>
      </c>
      <c r="J259" s="4" t="s">
        <v>926</v>
      </c>
      <c r="K259" s="4" t="s">
        <v>20</v>
      </c>
    </row>
    <row r="260" spans="1:11" x14ac:dyDescent="0.3">
      <c r="A260" s="3">
        <v>256</v>
      </c>
      <c r="B260" s="3" t="s">
        <v>3156</v>
      </c>
      <c r="C260" s="3" t="s">
        <v>248</v>
      </c>
      <c r="D260" s="3" t="s">
        <v>2528</v>
      </c>
      <c r="E260" s="3" t="s">
        <v>2524</v>
      </c>
      <c r="F260" s="3" t="s">
        <v>3157</v>
      </c>
      <c r="G260" s="3" t="str">
        <f>"18"</f>
        <v>18</v>
      </c>
      <c r="H260" s="3" t="str">
        <f t="shared" si="15"/>
        <v>31100</v>
      </c>
      <c r="I260" s="3" t="s">
        <v>13</v>
      </c>
      <c r="J260" s="3" t="s">
        <v>925</v>
      </c>
      <c r="K260" s="3" t="s">
        <v>814</v>
      </c>
    </row>
    <row r="261" spans="1:11" x14ac:dyDescent="0.3">
      <c r="A261" s="4">
        <v>257</v>
      </c>
      <c r="B261" s="4" t="s">
        <v>1149</v>
      </c>
      <c r="C261" s="4" t="s">
        <v>315</v>
      </c>
      <c r="D261" s="4" t="s">
        <v>2528</v>
      </c>
      <c r="E261" s="4" t="s">
        <v>2524</v>
      </c>
      <c r="F261" s="4" t="s">
        <v>3158</v>
      </c>
      <c r="G261" s="4" t="str">
        <f>"2"</f>
        <v>2</v>
      </c>
      <c r="H261" s="4" t="str">
        <f t="shared" si="15"/>
        <v>31100</v>
      </c>
      <c r="I261" s="4" t="s">
        <v>13</v>
      </c>
      <c r="J261" s="4" t="s">
        <v>926</v>
      </c>
      <c r="K261" s="4" t="s">
        <v>14</v>
      </c>
    </row>
    <row r="262" spans="1:11" x14ac:dyDescent="0.3">
      <c r="A262" s="3">
        <v>258</v>
      </c>
      <c r="B262" s="3" t="s">
        <v>3159</v>
      </c>
      <c r="C262" s="3" t="s">
        <v>3160</v>
      </c>
      <c r="D262" s="3" t="s">
        <v>2528</v>
      </c>
      <c r="E262" s="3" t="s">
        <v>2524</v>
      </c>
      <c r="F262" s="3" t="s">
        <v>3161</v>
      </c>
      <c r="G262" s="3" t="str">
        <f>"220/H"</f>
        <v>220/H</v>
      </c>
      <c r="H262" s="3" t="str">
        <f t="shared" si="15"/>
        <v>31100</v>
      </c>
      <c r="I262" s="3" t="s">
        <v>13</v>
      </c>
      <c r="J262" s="3" t="s">
        <v>925</v>
      </c>
      <c r="K262" s="3" t="s">
        <v>58</v>
      </c>
    </row>
    <row r="263" spans="1:11" x14ac:dyDescent="0.3">
      <c r="A263" s="4">
        <v>259</v>
      </c>
      <c r="B263" s="4" t="s">
        <v>3162</v>
      </c>
      <c r="C263" s="4" t="s">
        <v>3163</v>
      </c>
      <c r="D263" s="4" t="s">
        <v>2528</v>
      </c>
      <c r="E263" s="4" t="s">
        <v>2524</v>
      </c>
      <c r="F263" s="4" t="s">
        <v>3164</v>
      </c>
      <c r="G263" s="4" t="str">
        <f>"17"</f>
        <v>17</v>
      </c>
      <c r="H263" s="4" t="str">
        <f t="shared" si="15"/>
        <v>31100</v>
      </c>
      <c r="I263" s="4" t="s">
        <v>13</v>
      </c>
      <c r="J263" s="4" t="s">
        <v>926</v>
      </c>
      <c r="K263" s="4" t="s">
        <v>98</v>
      </c>
    </row>
    <row r="264" spans="1:11" x14ac:dyDescent="0.3">
      <c r="A264" s="4">
        <v>260</v>
      </c>
      <c r="B264" s="4" t="s">
        <v>3165</v>
      </c>
      <c r="C264" s="4" t="s">
        <v>3166</v>
      </c>
      <c r="D264" s="4" t="s">
        <v>2528</v>
      </c>
      <c r="E264" s="4" t="s">
        <v>2524</v>
      </c>
      <c r="F264" s="4" t="s">
        <v>3167</v>
      </c>
      <c r="G264" s="4" t="str">
        <f>"28/D"</f>
        <v>28/D</v>
      </c>
      <c r="H264" s="4" t="str">
        <f t="shared" si="15"/>
        <v>31100</v>
      </c>
      <c r="I264" s="4" t="s">
        <v>13</v>
      </c>
      <c r="J264" s="4" t="s">
        <v>926</v>
      </c>
      <c r="K264" s="4" t="s">
        <v>14</v>
      </c>
    </row>
    <row r="265" spans="1:11" x14ac:dyDescent="0.3">
      <c r="A265" s="4">
        <v>261</v>
      </c>
      <c r="B265" s="4" t="s">
        <v>3168</v>
      </c>
      <c r="C265" s="4" t="s">
        <v>3169</v>
      </c>
      <c r="D265" s="4" t="s">
        <v>2528</v>
      </c>
      <c r="E265" s="4" t="s">
        <v>2524</v>
      </c>
      <c r="F265" s="4" t="s">
        <v>3170</v>
      </c>
      <c r="G265" s="4" t="str">
        <f>"18"</f>
        <v>18</v>
      </c>
      <c r="H265" s="4" t="str">
        <f t="shared" si="15"/>
        <v>31100</v>
      </c>
      <c r="I265" s="4" t="s">
        <v>13</v>
      </c>
      <c r="J265" s="4" t="s">
        <v>926</v>
      </c>
      <c r="K265" s="4" t="s">
        <v>224</v>
      </c>
    </row>
    <row r="266" spans="1:11" x14ac:dyDescent="0.3">
      <c r="A266" s="3">
        <v>262</v>
      </c>
      <c r="B266" s="3" t="s">
        <v>3171</v>
      </c>
      <c r="C266" s="3" t="s">
        <v>3172</v>
      </c>
      <c r="D266" s="3" t="s">
        <v>2528</v>
      </c>
      <c r="E266" s="3" t="s">
        <v>2524</v>
      </c>
      <c r="F266" s="3" t="s">
        <v>3173</v>
      </c>
      <c r="G266" s="3" t="str">
        <f>"125"</f>
        <v>125</v>
      </c>
      <c r="H266" s="3" t="str">
        <f t="shared" si="15"/>
        <v>31100</v>
      </c>
      <c r="I266" s="3" t="s">
        <v>13</v>
      </c>
      <c r="J266" s="3" t="s">
        <v>925</v>
      </c>
      <c r="K266" s="3" t="s">
        <v>1883</v>
      </c>
    </row>
    <row r="267" spans="1:11" x14ac:dyDescent="0.3">
      <c r="A267" s="4">
        <v>263</v>
      </c>
      <c r="B267" s="4" t="s">
        <v>3174</v>
      </c>
      <c r="C267" s="4" t="s">
        <v>3142</v>
      </c>
      <c r="D267" s="4" t="s">
        <v>2528</v>
      </c>
      <c r="E267" s="4" t="s">
        <v>2524</v>
      </c>
      <c r="F267" s="4" t="s">
        <v>3143</v>
      </c>
      <c r="G267" s="4" t="str">
        <f>"81"</f>
        <v>81</v>
      </c>
      <c r="H267" s="4" t="str">
        <f t="shared" si="15"/>
        <v>31100</v>
      </c>
      <c r="I267" s="4" t="s">
        <v>13</v>
      </c>
      <c r="J267" s="4" t="s">
        <v>926</v>
      </c>
      <c r="K267" s="4" t="s">
        <v>20</v>
      </c>
    </row>
    <row r="268" spans="1:11" x14ac:dyDescent="0.3">
      <c r="A268" s="4">
        <v>264</v>
      </c>
      <c r="B268" s="4" t="s">
        <v>3175</v>
      </c>
      <c r="C268" s="4" t="s">
        <v>3176</v>
      </c>
      <c r="D268" s="4" t="s">
        <v>2528</v>
      </c>
      <c r="E268" s="4" t="s">
        <v>2524</v>
      </c>
      <c r="F268" s="4" t="s">
        <v>2158</v>
      </c>
      <c r="G268" s="4" t="str">
        <f>"56"</f>
        <v>56</v>
      </c>
      <c r="H268" s="4" t="str">
        <f t="shared" si="15"/>
        <v>31100</v>
      </c>
      <c r="I268" s="4" t="s">
        <v>13</v>
      </c>
      <c r="J268" s="4" t="s">
        <v>926</v>
      </c>
      <c r="K268" s="4" t="s">
        <v>20</v>
      </c>
    </row>
    <row r="269" spans="1:11" x14ac:dyDescent="0.3">
      <c r="A269" s="4">
        <v>265</v>
      </c>
      <c r="B269" s="4" t="s">
        <v>3177</v>
      </c>
      <c r="C269" s="4" t="s">
        <v>3178</v>
      </c>
      <c r="D269" s="4" t="s">
        <v>2528</v>
      </c>
      <c r="E269" s="4" t="s">
        <v>2524</v>
      </c>
      <c r="F269" s="4" t="s">
        <v>3179</v>
      </c>
      <c r="G269" s="4" t="str">
        <f>"26/C"</f>
        <v>26/C</v>
      </c>
      <c r="H269" s="4" t="str">
        <f t="shared" si="15"/>
        <v>31100</v>
      </c>
      <c r="I269" s="4" t="s">
        <v>13</v>
      </c>
      <c r="J269" s="4" t="s">
        <v>926</v>
      </c>
      <c r="K269" s="4" t="s">
        <v>165</v>
      </c>
    </row>
    <row r="270" spans="1:11" x14ac:dyDescent="0.3">
      <c r="A270" s="4">
        <v>266</v>
      </c>
      <c r="B270" s="4" t="s">
        <v>3180</v>
      </c>
      <c r="C270" s="4" t="s">
        <v>3181</v>
      </c>
      <c r="D270" s="4" t="s">
        <v>2528</v>
      </c>
      <c r="E270" s="4" t="s">
        <v>2524</v>
      </c>
      <c r="F270" s="4" t="s">
        <v>547</v>
      </c>
      <c r="G270" s="4" t="str">
        <f>"36"</f>
        <v>36</v>
      </c>
      <c r="H270" s="4" t="str">
        <f t="shared" si="15"/>
        <v>31100</v>
      </c>
      <c r="I270" s="4" t="s">
        <v>13</v>
      </c>
      <c r="J270" s="4" t="s">
        <v>926</v>
      </c>
      <c r="K270" s="4" t="s">
        <v>14</v>
      </c>
    </row>
    <row r="271" spans="1:11" x14ac:dyDescent="0.3">
      <c r="A271" s="4">
        <v>267</v>
      </c>
      <c r="B271" s="4" t="s">
        <v>3182</v>
      </c>
      <c r="C271" s="4" t="s">
        <v>3183</v>
      </c>
      <c r="D271" s="4" t="s">
        <v>2528</v>
      </c>
      <c r="E271" s="4" t="s">
        <v>2524</v>
      </c>
      <c r="F271" s="4" t="s">
        <v>3184</v>
      </c>
      <c r="G271" s="4" t="str">
        <f>"20"</f>
        <v>20</v>
      </c>
      <c r="H271" s="4" t="str">
        <f t="shared" si="15"/>
        <v>31100</v>
      </c>
      <c r="I271" s="4" t="s">
        <v>13</v>
      </c>
      <c r="J271" s="4" t="s">
        <v>926</v>
      </c>
      <c r="K271" s="4" t="s">
        <v>66</v>
      </c>
    </row>
    <row r="272" spans="1:11" x14ac:dyDescent="0.3">
      <c r="A272" s="4">
        <v>268</v>
      </c>
      <c r="B272" s="4" t="s">
        <v>3185</v>
      </c>
      <c r="C272" s="4" t="s">
        <v>3186</v>
      </c>
      <c r="D272" s="4" t="s">
        <v>2528</v>
      </c>
      <c r="E272" s="4" t="s">
        <v>2524</v>
      </c>
      <c r="F272" s="4" t="s">
        <v>3152</v>
      </c>
      <c r="G272" s="4" t="str">
        <f>"30/32"</f>
        <v>30/32</v>
      </c>
      <c r="H272" s="4" t="str">
        <f t="shared" si="15"/>
        <v>31100</v>
      </c>
      <c r="I272" s="4" t="s">
        <v>13</v>
      </c>
      <c r="J272" s="4" t="s">
        <v>926</v>
      </c>
      <c r="K272" s="4" t="s">
        <v>43</v>
      </c>
    </row>
    <row r="273" spans="1:11" x14ac:dyDescent="0.3">
      <c r="A273" s="4">
        <v>269</v>
      </c>
      <c r="B273" s="4" t="s">
        <v>3187</v>
      </c>
      <c r="C273" s="4" t="s">
        <v>3188</v>
      </c>
      <c r="D273" s="4" t="s">
        <v>2528</v>
      </c>
      <c r="E273" s="4" t="s">
        <v>2524</v>
      </c>
      <c r="F273" s="4" t="s">
        <v>3189</v>
      </c>
      <c r="G273" s="4" t="str">
        <f>"87"</f>
        <v>87</v>
      </c>
      <c r="H273" s="4" t="str">
        <f t="shared" si="15"/>
        <v>31100</v>
      </c>
      <c r="I273" s="4" t="s">
        <v>13</v>
      </c>
      <c r="J273" s="4" t="s">
        <v>926</v>
      </c>
      <c r="K273" s="4" t="s">
        <v>165</v>
      </c>
    </row>
    <row r="274" spans="1:11" x14ac:dyDescent="0.3">
      <c r="A274" s="15">
        <v>270</v>
      </c>
      <c r="B274" s="15" t="s">
        <v>1626</v>
      </c>
      <c r="C274" s="15" t="s">
        <v>2317</v>
      </c>
      <c r="D274" s="15" t="s">
        <v>2528</v>
      </c>
      <c r="E274" s="15" t="s">
        <v>2524</v>
      </c>
      <c r="F274" s="15" t="s">
        <v>3190</v>
      </c>
      <c r="G274" s="15" t="str">
        <f>"1"</f>
        <v>1</v>
      </c>
      <c r="H274" s="15" t="str">
        <f t="shared" si="15"/>
        <v>31100</v>
      </c>
      <c r="I274" s="15" t="s">
        <v>13</v>
      </c>
      <c r="J274" s="15" t="s">
        <v>927</v>
      </c>
      <c r="K274" s="15" t="s">
        <v>14</v>
      </c>
    </row>
    <row r="275" spans="1:11" x14ac:dyDescent="0.3">
      <c r="A275" s="3">
        <v>271</v>
      </c>
      <c r="B275" s="3" t="s">
        <v>1279</v>
      </c>
      <c r="C275" s="3" t="s">
        <v>3191</v>
      </c>
      <c r="D275" s="3" t="s">
        <v>2528</v>
      </c>
      <c r="E275" s="3" t="s">
        <v>2524</v>
      </c>
      <c r="F275" s="3" t="s">
        <v>3161</v>
      </c>
      <c r="G275" s="3" t="str">
        <f>"219"</f>
        <v>219</v>
      </c>
      <c r="H275" s="3" t="str">
        <f t="shared" si="15"/>
        <v>31100</v>
      </c>
      <c r="I275" s="3" t="s">
        <v>13</v>
      </c>
      <c r="J275" s="3" t="s">
        <v>925</v>
      </c>
      <c r="K275" s="3" t="s">
        <v>14</v>
      </c>
    </row>
    <row r="276" spans="1:11" x14ac:dyDescent="0.3">
      <c r="A276" s="3">
        <v>272</v>
      </c>
      <c r="B276" s="3" t="s">
        <v>3192</v>
      </c>
      <c r="C276" s="3" t="s">
        <v>3193</v>
      </c>
      <c r="D276" s="3" t="s">
        <v>2528</v>
      </c>
      <c r="E276" s="3" t="s">
        <v>2524</v>
      </c>
      <c r="F276" s="3" t="s">
        <v>3194</v>
      </c>
      <c r="G276" s="3" t="str">
        <f>"2"</f>
        <v>2</v>
      </c>
      <c r="H276" s="3" t="str">
        <f t="shared" si="15"/>
        <v>31100</v>
      </c>
      <c r="I276" s="3" t="s">
        <v>13</v>
      </c>
      <c r="J276" s="3" t="s">
        <v>925</v>
      </c>
      <c r="K276" s="3" t="s">
        <v>224</v>
      </c>
    </row>
    <row r="277" spans="1:11" x14ac:dyDescent="0.3">
      <c r="A277" s="16">
        <v>273</v>
      </c>
      <c r="B277" s="16" t="s">
        <v>3195</v>
      </c>
      <c r="C277" s="16" t="s">
        <v>3196</v>
      </c>
      <c r="D277" s="16" t="s">
        <v>2528</v>
      </c>
      <c r="E277" s="16" t="s">
        <v>2524</v>
      </c>
      <c r="F277" s="16" t="s">
        <v>3197</v>
      </c>
      <c r="G277" s="16" t="str">
        <f>"11"</f>
        <v>11</v>
      </c>
      <c r="H277" s="16" t="str">
        <f t="shared" si="15"/>
        <v>31100</v>
      </c>
      <c r="I277" s="16" t="s">
        <v>13</v>
      </c>
      <c r="J277" s="16" t="s">
        <v>928</v>
      </c>
      <c r="K277" s="16" t="s">
        <v>58</v>
      </c>
    </row>
    <row r="278" spans="1:11" x14ac:dyDescent="0.3">
      <c r="A278" s="15">
        <v>274</v>
      </c>
      <c r="B278" s="15" t="s">
        <v>3198</v>
      </c>
      <c r="C278" s="15" t="s">
        <v>3199</v>
      </c>
      <c r="D278" s="15" t="s">
        <v>2528</v>
      </c>
      <c r="E278" s="15" t="s">
        <v>2524</v>
      </c>
      <c r="F278" s="15" t="s">
        <v>3200</v>
      </c>
      <c r="G278" s="15" t="str">
        <f>"19"</f>
        <v>19</v>
      </c>
      <c r="H278" s="15" t="str">
        <f t="shared" si="15"/>
        <v>31100</v>
      </c>
      <c r="I278" s="15" t="s">
        <v>13</v>
      </c>
      <c r="J278" s="15" t="s">
        <v>927</v>
      </c>
      <c r="K278" s="15" t="s">
        <v>3201</v>
      </c>
    </row>
    <row r="279" spans="1:11" x14ac:dyDescent="0.3">
      <c r="A279" s="15">
        <v>275</v>
      </c>
      <c r="B279" s="15" t="s">
        <v>3198</v>
      </c>
      <c r="C279" s="15" t="s">
        <v>3199</v>
      </c>
      <c r="D279" s="15" t="s">
        <v>2528</v>
      </c>
      <c r="E279" s="15" t="s">
        <v>2524</v>
      </c>
      <c r="F279" s="15" t="s">
        <v>2158</v>
      </c>
      <c r="G279" s="15" t="str">
        <f>"12"</f>
        <v>12</v>
      </c>
      <c r="H279" s="15" t="str">
        <f t="shared" si="15"/>
        <v>31100</v>
      </c>
      <c r="I279" s="15" t="s">
        <v>13</v>
      </c>
      <c r="J279" s="15" t="s">
        <v>927</v>
      </c>
      <c r="K279" s="15" t="s">
        <v>3201</v>
      </c>
    </row>
    <row r="280" spans="1:11" x14ac:dyDescent="0.3">
      <c r="A280" s="4">
        <v>276</v>
      </c>
      <c r="B280" s="4" t="s">
        <v>3202</v>
      </c>
      <c r="C280" s="4" t="s">
        <v>3203</v>
      </c>
      <c r="D280" s="4" t="s">
        <v>2528</v>
      </c>
      <c r="E280" s="4" t="s">
        <v>2524</v>
      </c>
      <c r="F280" s="4" t="s">
        <v>3204</v>
      </c>
      <c r="G280" s="4" t="str">
        <f>"262"</f>
        <v>262</v>
      </c>
      <c r="H280" s="4" t="str">
        <f t="shared" si="15"/>
        <v>31100</v>
      </c>
      <c r="I280" s="4" t="s">
        <v>13</v>
      </c>
      <c r="J280" s="4" t="s">
        <v>926</v>
      </c>
      <c r="K280" s="4" t="s">
        <v>20</v>
      </c>
    </row>
    <row r="281" spans="1:11" x14ac:dyDescent="0.3">
      <c r="A281" s="4">
        <v>277</v>
      </c>
      <c r="B281" s="4" t="s">
        <v>3205</v>
      </c>
      <c r="C281" s="4" t="s">
        <v>3206</v>
      </c>
      <c r="D281" s="4" t="s">
        <v>2528</v>
      </c>
      <c r="E281" s="4" t="s">
        <v>2524</v>
      </c>
      <c r="F281" s="4" t="s">
        <v>3207</v>
      </c>
      <c r="G281" s="4" t="str">
        <f>"5"</f>
        <v>5</v>
      </c>
      <c r="H281" s="4" t="str">
        <f t="shared" si="15"/>
        <v>31100</v>
      </c>
      <c r="I281" s="4" t="s">
        <v>13</v>
      </c>
      <c r="J281" s="4" t="s">
        <v>926</v>
      </c>
      <c r="K281" s="4" t="s">
        <v>14</v>
      </c>
    </row>
    <row r="282" spans="1:11" x14ac:dyDescent="0.3">
      <c r="A282" s="16">
        <v>278</v>
      </c>
      <c r="B282" s="16" t="s">
        <v>3208</v>
      </c>
      <c r="C282" s="16" t="s">
        <v>3209</v>
      </c>
      <c r="D282" s="16" t="s">
        <v>2528</v>
      </c>
      <c r="E282" s="16" t="s">
        <v>2524</v>
      </c>
      <c r="F282" s="16" t="s">
        <v>3210</v>
      </c>
      <c r="G282" s="16" t="str">
        <f>"5"</f>
        <v>5</v>
      </c>
      <c r="H282" s="16" t="str">
        <f t="shared" si="15"/>
        <v>31100</v>
      </c>
      <c r="I282" s="16" t="s">
        <v>13</v>
      </c>
      <c r="J282" s="16" t="s">
        <v>928</v>
      </c>
      <c r="K282" s="16" t="s">
        <v>20</v>
      </c>
    </row>
    <row r="283" spans="1:11" x14ac:dyDescent="0.3">
      <c r="A283" s="4">
        <v>279</v>
      </c>
      <c r="B283" s="4" t="s">
        <v>3211</v>
      </c>
      <c r="C283" s="4" t="s">
        <v>3212</v>
      </c>
      <c r="D283" s="4" t="s">
        <v>2528</v>
      </c>
      <c r="E283" s="4" t="s">
        <v>2524</v>
      </c>
      <c r="F283" s="4" t="s">
        <v>3213</v>
      </c>
      <c r="G283" s="4" t="str">
        <f>"14"</f>
        <v>14</v>
      </c>
      <c r="H283" s="4" t="str">
        <f t="shared" si="15"/>
        <v>31100</v>
      </c>
      <c r="I283" s="4" t="s">
        <v>13</v>
      </c>
      <c r="J283" s="4" t="s">
        <v>926</v>
      </c>
      <c r="K283" s="4" t="s">
        <v>20</v>
      </c>
    </row>
    <row r="284" spans="1:11" x14ac:dyDescent="0.3">
      <c r="A284" s="4">
        <v>280</v>
      </c>
      <c r="B284" s="4" t="s">
        <v>3214</v>
      </c>
      <c r="C284" s="4" t="s">
        <v>119</v>
      </c>
      <c r="D284" s="4" t="s">
        <v>2528</v>
      </c>
      <c r="E284" s="4" t="s">
        <v>2524</v>
      </c>
      <c r="F284" s="4" t="s">
        <v>39</v>
      </c>
      <c r="G284" s="4" t="str">
        <f>"1"</f>
        <v>1</v>
      </c>
      <c r="H284" s="4" t="str">
        <f t="shared" si="15"/>
        <v>31100</v>
      </c>
      <c r="I284" s="4" t="s">
        <v>13</v>
      </c>
      <c r="J284" s="4" t="s">
        <v>926</v>
      </c>
      <c r="K284" s="4" t="s">
        <v>14</v>
      </c>
    </row>
    <row r="285" spans="1:11" x14ac:dyDescent="0.3">
      <c r="A285" s="4">
        <v>281</v>
      </c>
      <c r="B285" s="4" t="s">
        <v>3214</v>
      </c>
      <c r="C285" s="4" t="s">
        <v>119</v>
      </c>
      <c r="D285" s="4" t="s">
        <v>2528</v>
      </c>
      <c r="E285" s="4" t="s">
        <v>2524</v>
      </c>
      <c r="F285" s="4" t="s">
        <v>3215</v>
      </c>
      <c r="G285" s="4" t="str">
        <f>"2/A"</f>
        <v>2/A</v>
      </c>
      <c r="H285" s="4" t="str">
        <f t="shared" si="15"/>
        <v>31100</v>
      </c>
      <c r="I285" s="4" t="s">
        <v>13</v>
      </c>
      <c r="J285" s="4" t="s">
        <v>926</v>
      </c>
      <c r="K285" s="4" t="s">
        <v>14</v>
      </c>
    </row>
    <row r="286" spans="1:11" x14ac:dyDescent="0.3">
      <c r="A286" s="3">
        <v>282</v>
      </c>
      <c r="B286" s="3" t="s">
        <v>3216</v>
      </c>
      <c r="C286" s="3" t="s">
        <v>3217</v>
      </c>
      <c r="D286" s="3" t="s">
        <v>2528</v>
      </c>
      <c r="E286" s="3" t="s">
        <v>2524</v>
      </c>
      <c r="F286" s="3" t="s">
        <v>3218</v>
      </c>
      <c r="G286" s="3" t="str">
        <f>"10"</f>
        <v>10</v>
      </c>
      <c r="H286" s="3" t="str">
        <f t="shared" si="15"/>
        <v>31100</v>
      </c>
      <c r="I286" s="3" t="s">
        <v>13</v>
      </c>
      <c r="J286" s="3" t="s">
        <v>925</v>
      </c>
      <c r="K286" s="3" t="s">
        <v>98</v>
      </c>
    </row>
    <row r="287" spans="1:11" x14ac:dyDescent="0.3">
      <c r="A287" s="15">
        <v>283</v>
      </c>
      <c r="B287" s="15" t="s">
        <v>3219</v>
      </c>
      <c r="C287" s="15" t="s">
        <v>3220</v>
      </c>
      <c r="D287" s="15" t="s">
        <v>2528</v>
      </c>
      <c r="E287" s="15" t="s">
        <v>2524</v>
      </c>
      <c r="F287" s="15" t="s">
        <v>3221</v>
      </c>
      <c r="G287" s="15" t="str">
        <f>"21"</f>
        <v>21</v>
      </c>
      <c r="H287" s="15" t="str">
        <f t="shared" si="15"/>
        <v>31100</v>
      </c>
      <c r="I287" s="15" t="s">
        <v>13</v>
      </c>
      <c r="J287" s="15" t="s">
        <v>927</v>
      </c>
      <c r="K287" s="15" t="s">
        <v>58</v>
      </c>
    </row>
    <row r="288" spans="1:11" x14ac:dyDescent="0.3">
      <c r="A288" s="3">
        <v>284</v>
      </c>
      <c r="B288" s="3" t="s">
        <v>3222</v>
      </c>
      <c r="C288" s="3" t="s">
        <v>3223</v>
      </c>
      <c r="D288" s="3" t="s">
        <v>2528</v>
      </c>
      <c r="E288" s="3" t="s">
        <v>2524</v>
      </c>
      <c r="F288" s="3" t="s">
        <v>238</v>
      </c>
      <c r="G288" s="3" t="str">
        <f>"11"</f>
        <v>11</v>
      </c>
      <c r="H288" s="3" t="str">
        <f t="shared" si="15"/>
        <v>31100</v>
      </c>
      <c r="I288" s="3" t="s">
        <v>13</v>
      </c>
      <c r="J288" s="3" t="s">
        <v>925</v>
      </c>
      <c r="K288" s="3" t="s">
        <v>58</v>
      </c>
    </row>
    <row r="289" spans="1:11" x14ac:dyDescent="0.3">
      <c r="A289" s="4">
        <v>285</v>
      </c>
      <c r="B289" s="4" t="s">
        <v>3224</v>
      </c>
      <c r="C289" s="4" t="s">
        <v>3225</v>
      </c>
      <c r="D289" s="4" t="s">
        <v>2528</v>
      </c>
      <c r="E289" s="4" t="s">
        <v>2524</v>
      </c>
      <c r="F289" s="4" t="s">
        <v>3161</v>
      </c>
      <c r="G289" s="4" t="str">
        <f>"240"</f>
        <v>240</v>
      </c>
      <c r="H289" s="4" t="str">
        <f t="shared" si="15"/>
        <v>31100</v>
      </c>
      <c r="I289" s="4" t="s">
        <v>13</v>
      </c>
      <c r="J289" s="4" t="s">
        <v>926</v>
      </c>
      <c r="K289" s="4" t="s">
        <v>43</v>
      </c>
    </row>
    <row r="290" spans="1:11" x14ac:dyDescent="0.3">
      <c r="A290" s="3">
        <v>286</v>
      </c>
      <c r="B290" s="3" t="s">
        <v>3226</v>
      </c>
      <c r="C290" s="3" t="s">
        <v>3227</v>
      </c>
      <c r="D290" s="3" t="s">
        <v>2528</v>
      </c>
      <c r="E290" s="3" t="s">
        <v>2524</v>
      </c>
      <c r="F290" s="3" t="s">
        <v>3228</v>
      </c>
      <c r="G290" s="3" t="str">
        <f>"38"</f>
        <v>38</v>
      </c>
      <c r="H290" s="3" t="str">
        <f t="shared" si="15"/>
        <v>31100</v>
      </c>
      <c r="I290" s="3" t="s">
        <v>13</v>
      </c>
      <c r="J290" s="3" t="s">
        <v>925</v>
      </c>
      <c r="K290" s="3" t="s">
        <v>20</v>
      </c>
    </row>
    <row r="291" spans="1:11" x14ac:dyDescent="0.3">
      <c r="A291" s="4">
        <v>287</v>
      </c>
      <c r="B291" s="4" t="s">
        <v>3229</v>
      </c>
      <c r="C291" s="4" t="s">
        <v>3230</v>
      </c>
      <c r="D291" s="4" t="s">
        <v>2528</v>
      </c>
      <c r="E291" s="4" t="s">
        <v>2524</v>
      </c>
      <c r="F291" s="4" t="s">
        <v>3231</v>
      </c>
      <c r="G291" s="4" t="str">
        <f>"SNC"</f>
        <v>SNC</v>
      </c>
      <c r="H291" s="4" t="str">
        <f t="shared" si="15"/>
        <v>31100</v>
      </c>
      <c r="I291" s="4" t="s">
        <v>13</v>
      </c>
      <c r="J291" s="4" t="s">
        <v>926</v>
      </c>
      <c r="K291" s="4" t="s">
        <v>14</v>
      </c>
    </row>
    <row r="292" spans="1:11" x14ac:dyDescent="0.3">
      <c r="A292" s="4">
        <v>288</v>
      </c>
      <c r="B292" s="4" t="s">
        <v>3232</v>
      </c>
      <c r="C292" s="4" t="s">
        <v>3233</v>
      </c>
      <c r="D292" s="4" t="s">
        <v>2528</v>
      </c>
      <c r="E292" s="4" t="s">
        <v>2524</v>
      </c>
      <c r="F292" s="4" t="s">
        <v>3152</v>
      </c>
      <c r="G292" s="4" t="str">
        <f>"16"</f>
        <v>16</v>
      </c>
      <c r="H292" s="4" t="str">
        <f t="shared" si="15"/>
        <v>31100</v>
      </c>
      <c r="I292" s="4" t="s">
        <v>13</v>
      </c>
      <c r="J292" s="4" t="s">
        <v>926</v>
      </c>
      <c r="K292" s="4" t="s">
        <v>20</v>
      </c>
    </row>
    <row r="293" spans="1:11" x14ac:dyDescent="0.3">
      <c r="A293" s="4">
        <v>289</v>
      </c>
      <c r="B293" s="4" t="s">
        <v>3234</v>
      </c>
      <c r="C293" s="4" t="s">
        <v>3235</v>
      </c>
      <c r="D293" s="4" t="s">
        <v>2528</v>
      </c>
      <c r="E293" s="4" t="s">
        <v>2524</v>
      </c>
      <c r="F293" s="4" t="s">
        <v>3236</v>
      </c>
      <c r="G293" s="4" t="str">
        <f>"13"</f>
        <v>13</v>
      </c>
      <c r="H293" s="4" t="str">
        <f t="shared" si="15"/>
        <v>31100</v>
      </c>
      <c r="I293" s="4" t="s">
        <v>13</v>
      </c>
      <c r="J293" s="4" t="s">
        <v>926</v>
      </c>
      <c r="K293" s="4" t="s">
        <v>43</v>
      </c>
    </row>
    <row r="294" spans="1:11" x14ac:dyDescent="0.3">
      <c r="A294" s="3">
        <v>290</v>
      </c>
      <c r="B294" s="3" t="s">
        <v>3237</v>
      </c>
      <c r="C294" s="3" t="s">
        <v>3238</v>
      </c>
      <c r="D294" s="3" t="s">
        <v>2528</v>
      </c>
      <c r="E294" s="3" t="s">
        <v>2524</v>
      </c>
      <c r="F294" s="3" t="s">
        <v>3239</v>
      </c>
      <c r="G294" s="3" t="str">
        <f>"2"</f>
        <v>2</v>
      </c>
      <c r="H294" s="3" t="str">
        <f t="shared" si="15"/>
        <v>31100</v>
      </c>
      <c r="I294" s="3" t="s">
        <v>13</v>
      </c>
      <c r="J294" s="3" t="s">
        <v>925</v>
      </c>
      <c r="K294" s="3" t="s">
        <v>14</v>
      </c>
    </row>
    <row r="295" spans="1:11" x14ac:dyDescent="0.3">
      <c r="A295" s="3">
        <v>291</v>
      </c>
      <c r="B295" s="3" t="s">
        <v>3240</v>
      </c>
      <c r="C295" s="3" t="s">
        <v>3241</v>
      </c>
      <c r="D295" s="3" t="s">
        <v>2528</v>
      </c>
      <c r="E295" s="3" t="s">
        <v>2524</v>
      </c>
      <c r="F295" s="3" t="s">
        <v>3242</v>
      </c>
      <c r="G295" s="3" t="str">
        <f>"73"</f>
        <v>73</v>
      </c>
      <c r="H295" s="3" t="str">
        <f t="shared" si="15"/>
        <v>31100</v>
      </c>
      <c r="I295" s="3" t="s">
        <v>13</v>
      </c>
      <c r="J295" s="3" t="s">
        <v>925</v>
      </c>
      <c r="K295" s="3" t="s">
        <v>14</v>
      </c>
    </row>
    <row r="296" spans="1:11" x14ac:dyDescent="0.3">
      <c r="A296" s="3">
        <v>292</v>
      </c>
      <c r="B296" s="3" t="s">
        <v>3243</v>
      </c>
      <c r="C296" s="3" t="s">
        <v>3244</v>
      </c>
      <c r="D296" s="3" t="s">
        <v>2528</v>
      </c>
      <c r="E296" s="3" t="s">
        <v>2524</v>
      </c>
      <c r="F296" s="3" t="s">
        <v>3245</v>
      </c>
      <c r="G296" s="3" t="str">
        <f>"21"</f>
        <v>21</v>
      </c>
      <c r="H296" s="3" t="str">
        <f t="shared" si="15"/>
        <v>31100</v>
      </c>
      <c r="I296" s="3" t="s">
        <v>13</v>
      </c>
      <c r="J296" s="3" t="s">
        <v>925</v>
      </c>
      <c r="K296" s="3" t="s">
        <v>14</v>
      </c>
    </row>
    <row r="297" spans="1:11" x14ac:dyDescent="0.3">
      <c r="A297" s="3">
        <v>293</v>
      </c>
      <c r="B297" s="3" t="s">
        <v>3246</v>
      </c>
      <c r="C297" s="3" t="s">
        <v>3247</v>
      </c>
      <c r="D297" s="3" t="s">
        <v>2528</v>
      </c>
      <c r="E297" s="3" t="s">
        <v>2524</v>
      </c>
      <c r="F297" s="3" t="s">
        <v>238</v>
      </c>
      <c r="G297" s="3" t="str">
        <f>"67"</f>
        <v>67</v>
      </c>
      <c r="H297" s="3" t="str">
        <f t="shared" si="15"/>
        <v>31100</v>
      </c>
      <c r="I297" s="3" t="s">
        <v>13</v>
      </c>
      <c r="J297" s="3" t="s">
        <v>925</v>
      </c>
      <c r="K297" s="3" t="s">
        <v>14</v>
      </c>
    </row>
    <row r="298" spans="1:11" x14ac:dyDescent="0.3">
      <c r="A298" s="4">
        <v>294</v>
      </c>
      <c r="B298" s="4" t="s">
        <v>3248</v>
      </c>
      <c r="C298" s="4" t="s">
        <v>3249</v>
      </c>
      <c r="D298" s="4" t="s">
        <v>2528</v>
      </c>
      <c r="E298" s="4" t="s">
        <v>2524</v>
      </c>
      <c r="F298" s="4" t="s">
        <v>3250</v>
      </c>
      <c r="G298" s="4" t="str">
        <f>"8"</f>
        <v>8</v>
      </c>
      <c r="H298" s="4" t="str">
        <f t="shared" si="15"/>
        <v>31100</v>
      </c>
      <c r="I298" s="4" t="s">
        <v>13</v>
      </c>
      <c r="J298" s="4" t="s">
        <v>926</v>
      </c>
      <c r="K298" s="4" t="s">
        <v>224</v>
      </c>
    </row>
    <row r="299" spans="1:11" x14ac:dyDescent="0.3">
      <c r="A299" s="3">
        <v>295</v>
      </c>
      <c r="B299" s="3" t="s">
        <v>1385</v>
      </c>
      <c r="C299" s="3" t="s">
        <v>3251</v>
      </c>
      <c r="D299" s="3" t="s">
        <v>2528</v>
      </c>
      <c r="E299" s="3" t="s">
        <v>2524</v>
      </c>
      <c r="F299" s="3" t="s">
        <v>3151</v>
      </c>
      <c r="G299" s="3" t="str">
        <f>"34/A"</f>
        <v>34/A</v>
      </c>
      <c r="H299" s="3" t="str">
        <f t="shared" si="15"/>
        <v>31100</v>
      </c>
      <c r="I299" s="3" t="s">
        <v>13</v>
      </c>
      <c r="J299" s="3" t="s">
        <v>925</v>
      </c>
      <c r="K299" s="3" t="s">
        <v>14</v>
      </c>
    </row>
    <row r="300" spans="1:11" x14ac:dyDescent="0.3">
      <c r="A300" s="16">
        <v>296</v>
      </c>
      <c r="B300" s="16" t="s">
        <v>1138</v>
      </c>
      <c r="C300" s="16" t="s">
        <v>296</v>
      </c>
      <c r="D300" s="16" t="s">
        <v>2528</v>
      </c>
      <c r="E300" s="16" t="s">
        <v>2524</v>
      </c>
      <c r="F300" s="16" t="s">
        <v>552</v>
      </c>
      <c r="G300" s="16" t="str">
        <f>"47"</f>
        <v>47</v>
      </c>
      <c r="H300" s="16" t="str">
        <f t="shared" si="15"/>
        <v>31100</v>
      </c>
      <c r="I300" s="16" t="s">
        <v>13</v>
      </c>
      <c r="J300" s="16" t="s">
        <v>928</v>
      </c>
      <c r="K300" s="16" t="s">
        <v>14</v>
      </c>
    </row>
    <row r="301" spans="1:11" x14ac:dyDescent="0.3">
      <c r="A301" s="3">
        <v>297</v>
      </c>
      <c r="B301" s="3" t="s">
        <v>3252</v>
      </c>
      <c r="C301" s="3" t="s">
        <v>3253</v>
      </c>
      <c r="D301" s="3" t="s">
        <v>2528</v>
      </c>
      <c r="E301" s="3" t="s">
        <v>2524</v>
      </c>
      <c r="F301" s="3" t="s">
        <v>3254</v>
      </c>
      <c r="G301" s="3" t="str">
        <f>"35"</f>
        <v>35</v>
      </c>
      <c r="H301" s="3" t="str">
        <f t="shared" si="15"/>
        <v>31100</v>
      </c>
      <c r="I301" s="3" t="s">
        <v>13</v>
      </c>
      <c r="J301" s="3" t="s">
        <v>925</v>
      </c>
      <c r="K301" s="3" t="s">
        <v>27</v>
      </c>
    </row>
    <row r="302" spans="1:11" x14ac:dyDescent="0.3">
      <c r="A302" s="15">
        <v>298</v>
      </c>
      <c r="B302" s="15" t="s">
        <v>3255</v>
      </c>
      <c r="C302" s="15" t="s">
        <v>3256</v>
      </c>
      <c r="D302" s="15" t="s">
        <v>2528</v>
      </c>
      <c r="E302" s="15" t="s">
        <v>2524</v>
      </c>
      <c r="F302" s="15" t="s">
        <v>455</v>
      </c>
      <c r="G302" s="15" t="str">
        <f>"28"</f>
        <v>28</v>
      </c>
      <c r="H302" s="15" t="str">
        <f t="shared" si="15"/>
        <v>31100</v>
      </c>
      <c r="I302" s="15" t="s">
        <v>13</v>
      </c>
      <c r="J302" s="15" t="s">
        <v>927</v>
      </c>
      <c r="K302" s="15" t="s">
        <v>241</v>
      </c>
    </row>
    <row r="303" spans="1:11" x14ac:dyDescent="0.3">
      <c r="A303" s="4">
        <v>299</v>
      </c>
      <c r="B303" s="4" t="s">
        <v>3257</v>
      </c>
      <c r="C303" s="4" t="s">
        <v>3258</v>
      </c>
      <c r="D303" s="4" t="s">
        <v>2528</v>
      </c>
      <c r="E303" s="4" t="s">
        <v>2524</v>
      </c>
      <c r="F303" s="4" t="s">
        <v>3259</v>
      </c>
      <c r="G303" s="4" t="str">
        <f>"6/7"</f>
        <v>6/7</v>
      </c>
      <c r="H303" s="4" t="str">
        <f t="shared" si="15"/>
        <v>31100</v>
      </c>
      <c r="I303" s="4" t="s">
        <v>13</v>
      </c>
      <c r="J303" s="4" t="s">
        <v>926</v>
      </c>
      <c r="K303" s="4" t="s">
        <v>224</v>
      </c>
    </row>
    <row r="304" spans="1:11" x14ac:dyDescent="0.3">
      <c r="A304" s="3">
        <v>300</v>
      </c>
      <c r="B304" s="3" t="s">
        <v>3260</v>
      </c>
      <c r="C304" s="3" t="s">
        <v>3261</v>
      </c>
      <c r="D304" s="3" t="s">
        <v>2528</v>
      </c>
      <c r="E304" s="3" t="s">
        <v>2524</v>
      </c>
      <c r="F304" s="3" t="s">
        <v>2423</v>
      </c>
      <c r="G304" s="3" t="str">
        <f>"46"</f>
        <v>46</v>
      </c>
      <c r="H304" s="3" t="str">
        <f t="shared" si="15"/>
        <v>31100</v>
      </c>
      <c r="I304" s="3" t="s">
        <v>13</v>
      </c>
      <c r="J304" s="3" t="s">
        <v>925</v>
      </c>
      <c r="K304" s="3" t="s">
        <v>14</v>
      </c>
    </row>
    <row r="305" spans="1:11" x14ac:dyDescent="0.3">
      <c r="A305" s="4">
        <v>301</v>
      </c>
      <c r="B305" s="4" t="s">
        <v>3262</v>
      </c>
      <c r="C305" s="4" t="s">
        <v>3263</v>
      </c>
      <c r="D305" s="4" t="s">
        <v>2528</v>
      </c>
      <c r="E305" s="4" t="s">
        <v>2524</v>
      </c>
      <c r="F305" s="4" t="s">
        <v>3151</v>
      </c>
      <c r="G305" s="4" t="str">
        <f>"40/F"</f>
        <v>40/F</v>
      </c>
      <c r="H305" s="4" t="str">
        <f t="shared" si="15"/>
        <v>31100</v>
      </c>
      <c r="I305" s="4" t="s">
        <v>13</v>
      </c>
      <c r="J305" s="4" t="s">
        <v>926</v>
      </c>
      <c r="K305" s="4" t="s">
        <v>224</v>
      </c>
    </row>
    <row r="306" spans="1:11" x14ac:dyDescent="0.3">
      <c r="A306" s="3">
        <v>302</v>
      </c>
      <c r="B306" s="3" t="s">
        <v>3264</v>
      </c>
      <c r="C306" s="3" t="s">
        <v>3265</v>
      </c>
      <c r="D306" s="3" t="s">
        <v>2528</v>
      </c>
      <c r="E306" s="3" t="s">
        <v>2524</v>
      </c>
      <c r="F306" s="3" t="s">
        <v>3161</v>
      </c>
      <c r="G306" s="3" t="str">
        <f>"220/B"</f>
        <v>220/B</v>
      </c>
      <c r="H306" s="3" t="str">
        <f t="shared" si="15"/>
        <v>31100</v>
      </c>
      <c r="I306" s="3" t="s">
        <v>13</v>
      </c>
      <c r="J306" s="3" t="s">
        <v>925</v>
      </c>
      <c r="K306" s="3" t="s">
        <v>14</v>
      </c>
    </row>
    <row r="307" spans="1:11" x14ac:dyDescent="0.3">
      <c r="A307" s="4">
        <v>303</v>
      </c>
      <c r="B307" s="4" t="s">
        <v>3266</v>
      </c>
      <c r="C307" s="4" t="s">
        <v>3267</v>
      </c>
      <c r="D307" s="4" t="s">
        <v>2528</v>
      </c>
      <c r="E307" s="4" t="s">
        <v>2524</v>
      </c>
      <c r="F307" s="4" t="s">
        <v>3268</v>
      </c>
      <c r="G307" s="4" t="str">
        <f>"5"</f>
        <v>5</v>
      </c>
      <c r="H307" s="4" t="str">
        <f t="shared" si="15"/>
        <v>31100</v>
      </c>
      <c r="I307" s="4" t="s">
        <v>13</v>
      </c>
      <c r="J307" s="4" t="s">
        <v>926</v>
      </c>
      <c r="K307" s="4" t="s">
        <v>20</v>
      </c>
    </row>
    <row r="308" spans="1:11" x14ac:dyDescent="0.3">
      <c r="A308" s="3">
        <v>304</v>
      </c>
      <c r="B308" s="3" t="s">
        <v>3269</v>
      </c>
      <c r="C308" s="3" t="s">
        <v>2691</v>
      </c>
      <c r="D308" s="3" t="s">
        <v>2528</v>
      </c>
      <c r="E308" s="3" t="s">
        <v>2524</v>
      </c>
      <c r="F308" s="3" t="s">
        <v>3161</v>
      </c>
      <c r="G308" s="3" t="str">
        <f>"10"</f>
        <v>10</v>
      </c>
      <c r="H308" s="3" t="str">
        <f t="shared" si="15"/>
        <v>31100</v>
      </c>
      <c r="I308" s="3" t="s">
        <v>13</v>
      </c>
      <c r="J308" s="3" t="s">
        <v>925</v>
      </c>
      <c r="K308" s="3" t="s">
        <v>20</v>
      </c>
    </row>
    <row r="309" spans="1:11" x14ac:dyDescent="0.3">
      <c r="A309" s="3">
        <v>305</v>
      </c>
      <c r="B309" s="3" t="s">
        <v>3270</v>
      </c>
      <c r="C309" s="3" t="s">
        <v>3271</v>
      </c>
      <c r="D309" s="3" t="s">
        <v>2528</v>
      </c>
      <c r="E309" s="3" t="s">
        <v>2524</v>
      </c>
      <c r="F309" s="3" t="s">
        <v>3151</v>
      </c>
      <c r="G309" s="3" t="str">
        <f>"48/53"</f>
        <v>48/53</v>
      </c>
      <c r="H309" s="3" t="str">
        <f t="shared" si="15"/>
        <v>31100</v>
      </c>
      <c r="I309" s="3" t="s">
        <v>13</v>
      </c>
      <c r="J309" s="3" t="s">
        <v>925</v>
      </c>
      <c r="K309" s="3" t="s">
        <v>20</v>
      </c>
    </row>
    <row r="310" spans="1:11" x14ac:dyDescent="0.3">
      <c r="A310" s="3">
        <v>306</v>
      </c>
      <c r="B310" s="3" t="s">
        <v>3270</v>
      </c>
      <c r="C310" s="3" t="s">
        <v>3272</v>
      </c>
      <c r="D310" s="3" t="s">
        <v>2528</v>
      </c>
      <c r="E310" s="3" t="s">
        <v>2524</v>
      </c>
      <c r="F310" s="3" t="s">
        <v>3151</v>
      </c>
      <c r="G310" s="3" t="str">
        <f>"51"</f>
        <v>51</v>
      </c>
      <c r="H310" s="3" t="str">
        <f t="shared" si="15"/>
        <v>31100</v>
      </c>
      <c r="I310" s="3" t="s">
        <v>13</v>
      </c>
      <c r="J310" s="3" t="s">
        <v>925</v>
      </c>
      <c r="K310" s="3" t="s">
        <v>20</v>
      </c>
    </row>
    <row r="311" spans="1:11" x14ac:dyDescent="0.3">
      <c r="A311" s="4">
        <v>307</v>
      </c>
      <c r="B311" s="4" t="s">
        <v>3273</v>
      </c>
      <c r="C311" s="4" t="s">
        <v>3274</v>
      </c>
      <c r="D311" s="4" t="s">
        <v>2528</v>
      </c>
      <c r="E311" s="4" t="s">
        <v>2524</v>
      </c>
      <c r="F311" s="4" t="s">
        <v>3152</v>
      </c>
      <c r="G311" s="4" t="str">
        <f>"48/A"</f>
        <v>48/A</v>
      </c>
      <c r="H311" s="4" t="str">
        <f t="shared" si="15"/>
        <v>31100</v>
      </c>
      <c r="I311" s="4" t="s">
        <v>13</v>
      </c>
      <c r="J311" s="4" t="s">
        <v>926</v>
      </c>
      <c r="K311" s="4" t="s">
        <v>14</v>
      </c>
    </row>
    <row r="312" spans="1:11" x14ac:dyDescent="0.3">
      <c r="A312" s="3">
        <v>308</v>
      </c>
      <c r="B312" s="3" t="s">
        <v>3275</v>
      </c>
      <c r="C312" s="3" t="s">
        <v>3276</v>
      </c>
      <c r="D312" s="3" t="s">
        <v>2528</v>
      </c>
      <c r="E312" s="3" t="s">
        <v>2524</v>
      </c>
      <c r="F312" s="3" t="s">
        <v>3277</v>
      </c>
      <c r="G312" s="3" t="str">
        <f>"11"</f>
        <v>11</v>
      </c>
      <c r="H312" s="3" t="str">
        <f t="shared" si="15"/>
        <v>31100</v>
      </c>
      <c r="I312" s="3" t="s">
        <v>13</v>
      </c>
      <c r="J312" s="3" t="s">
        <v>925</v>
      </c>
      <c r="K312" s="3" t="s">
        <v>43</v>
      </c>
    </row>
    <row r="313" spans="1:11" x14ac:dyDescent="0.3">
      <c r="A313" s="4">
        <v>309</v>
      </c>
      <c r="B313" s="4" t="s">
        <v>3278</v>
      </c>
      <c r="C313" s="4" t="s">
        <v>3279</v>
      </c>
      <c r="D313" s="4" t="s">
        <v>2528</v>
      </c>
      <c r="E313" s="4" t="s">
        <v>2524</v>
      </c>
      <c r="F313" s="4" t="s">
        <v>3280</v>
      </c>
      <c r="G313" s="4" t="str">
        <f>"6/A"</f>
        <v>6/A</v>
      </c>
      <c r="H313" s="4" t="str">
        <f t="shared" si="15"/>
        <v>31100</v>
      </c>
      <c r="I313" s="4" t="s">
        <v>13</v>
      </c>
      <c r="J313" s="4" t="s">
        <v>926</v>
      </c>
      <c r="K313" s="4" t="s">
        <v>14</v>
      </c>
    </row>
    <row r="314" spans="1:11" x14ac:dyDescent="0.3">
      <c r="A314" s="3">
        <v>310</v>
      </c>
      <c r="B314" s="3" t="s">
        <v>3281</v>
      </c>
      <c r="C314" s="3" t="s">
        <v>3282</v>
      </c>
      <c r="D314" s="3" t="s">
        <v>2528</v>
      </c>
      <c r="E314" s="3" t="s">
        <v>2524</v>
      </c>
      <c r="F314" s="3" t="s">
        <v>3161</v>
      </c>
      <c r="G314" s="3" t="str">
        <f>"280"</f>
        <v>280</v>
      </c>
      <c r="H314" s="3" t="str">
        <f t="shared" si="15"/>
        <v>31100</v>
      </c>
      <c r="I314" s="3" t="s">
        <v>13</v>
      </c>
      <c r="J314" s="3" t="s">
        <v>925</v>
      </c>
      <c r="K314" s="3" t="s">
        <v>254</v>
      </c>
    </row>
    <row r="315" spans="1:11" x14ac:dyDescent="0.3">
      <c r="A315" s="3">
        <v>311</v>
      </c>
      <c r="B315" s="3" t="s">
        <v>3283</v>
      </c>
      <c r="C315" s="3" t="s">
        <v>3284</v>
      </c>
      <c r="D315" s="3" t="s">
        <v>2528</v>
      </c>
      <c r="E315" s="3" t="s">
        <v>2524</v>
      </c>
      <c r="F315" s="3" t="s">
        <v>3164</v>
      </c>
      <c r="G315" s="3" t="str">
        <f>"19/A"</f>
        <v>19/A</v>
      </c>
      <c r="H315" s="3" t="str">
        <f t="shared" si="15"/>
        <v>31100</v>
      </c>
      <c r="I315" s="3" t="s">
        <v>13</v>
      </c>
      <c r="J315" s="3" t="s">
        <v>925</v>
      </c>
      <c r="K315" s="3" t="s">
        <v>139</v>
      </c>
    </row>
    <row r="316" spans="1:11" x14ac:dyDescent="0.3">
      <c r="A316" s="3">
        <v>312</v>
      </c>
      <c r="B316" s="3" t="s">
        <v>3285</v>
      </c>
      <c r="C316" s="3" t="s">
        <v>3286</v>
      </c>
      <c r="D316" s="3" t="s">
        <v>2528</v>
      </c>
      <c r="E316" s="3" t="s">
        <v>2524</v>
      </c>
      <c r="F316" s="3" t="s">
        <v>3287</v>
      </c>
      <c r="G316" s="3" t="str">
        <f>"6/7/8"</f>
        <v>6/7/8</v>
      </c>
      <c r="H316" s="3" t="str">
        <f t="shared" ref="H316:H342" si="16">"31100"</f>
        <v>31100</v>
      </c>
      <c r="I316" s="3" t="s">
        <v>13</v>
      </c>
      <c r="J316" s="3" t="s">
        <v>925</v>
      </c>
      <c r="K316" s="3" t="s">
        <v>43</v>
      </c>
    </row>
    <row r="317" spans="1:11" x14ac:dyDescent="0.3">
      <c r="A317" s="3">
        <v>313</v>
      </c>
      <c r="B317" s="3" t="s">
        <v>3288</v>
      </c>
      <c r="C317" s="3" t="s">
        <v>3289</v>
      </c>
      <c r="D317" s="3" t="s">
        <v>2528</v>
      </c>
      <c r="E317" s="3" t="s">
        <v>2524</v>
      </c>
      <c r="F317" s="3" t="s">
        <v>3167</v>
      </c>
      <c r="G317" s="3" t="str">
        <f>"12/G"</f>
        <v>12/G</v>
      </c>
      <c r="H317" s="3" t="str">
        <f t="shared" si="16"/>
        <v>31100</v>
      </c>
      <c r="I317" s="3" t="s">
        <v>13</v>
      </c>
      <c r="J317" s="3" t="s">
        <v>925</v>
      </c>
      <c r="K317" s="3" t="s">
        <v>14</v>
      </c>
    </row>
    <row r="318" spans="1:11" x14ac:dyDescent="0.3">
      <c r="A318" s="3">
        <v>314</v>
      </c>
      <c r="B318" s="3" t="s">
        <v>3290</v>
      </c>
      <c r="C318" s="3" t="s">
        <v>2866</v>
      </c>
      <c r="D318" s="3" t="s">
        <v>2528</v>
      </c>
      <c r="E318" s="3" t="s">
        <v>2524</v>
      </c>
      <c r="F318" s="3" t="s">
        <v>3291</v>
      </c>
      <c r="G318" s="3" t="str">
        <f>"12"</f>
        <v>12</v>
      </c>
      <c r="H318" s="3" t="str">
        <f t="shared" si="16"/>
        <v>31100</v>
      </c>
      <c r="I318" s="3" t="s">
        <v>13</v>
      </c>
      <c r="J318" s="3" t="s">
        <v>925</v>
      </c>
      <c r="K318" s="3" t="s">
        <v>298</v>
      </c>
    </row>
    <row r="319" spans="1:11" x14ac:dyDescent="0.3">
      <c r="A319" s="4">
        <v>315</v>
      </c>
      <c r="B319" s="4" t="s">
        <v>3292</v>
      </c>
      <c r="C319" s="4" t="s">
        <v>3293</v>
      </c>
      <c r="D319" s="4" t="s">
        <v>2528</v>
      </c>
      <c r="E319" s="4" t="s">
        <v>2524</v>
      </c>
      <c r="F319" s="4" t="s">
        <v>2314</v>
      </c>
      <c r="G319" s="4" t="str">
        <f>"17/C"</f>
        <v>17/C</v>
      </c>
      <c r="H319" s="4" t="str">
        <f t="shared" si="16"/>
        <v>31100</v>
      </c>
      <c r="I319" s="4" t="s">
        <v>13</v>
      </c>
      <c r="J319" s="4" t="s">
        <v>926</v>
      </c>
      <c r="K319" s="4" t="s">
        <v>224</v>
      </c>
    </row>
    <row r="320" spans="1:11" x14ac:dyDescent="0.3">
      <c r="A320" s="3">
        <v>316</v>
      </c>
      <c r="B320" s="3" t="s">
        <v>3294</v>
      </c>
      <c r="C320" s="3" t="s">
        <v>3295</v>
      </c>
      <c r="D320" s="3" t="s">
        <v>2528</v>
      </c>
      <c r="E320" s="3" t="s">
        <v>2524</v>
      </c>
      <c r="F320" s="3" t="s">
        <v>3296</v>
      </c>
      <c r="G320" s="3" t="str">
        <f>"21 A/B"</f>
        <v>21 A/B</v>
      </c>
      <c r="H320" s="3" t="str">
        <f t="shared" si="16"/>
        <v>31100</v>
      </c>
      <c r="I320" s="3" t="s">
        <v>13</v>
      </c>
      <c r="J320" s="3" t="s">
        <v>925</v>
      </c>
      <c r="K320" s="3" t="s">
        <v>43</v>
      </c>
    </row>
    <row r="321" spans="1:11" x14ac:dyDescent="0.3">
      <c r="A321" s="3">
        <v>317</v>
      </c>
      <c r="B321" s="3" t="s">
        <v>3297</v>
      </c>
      <c r="C321" s="3" t="s">
        <v>3298</v>
      </c>
      <c r="D321" s="3" t="s">
        <v>2528</v>
      </c>
      <c r="E321" s="3" t="s">
        <v>2524</v>
      </c>
      <c r="F321" s="3" t="s">
        <v>3299</v>
      </c>
      <c r="G321" s="3" t="str">
        <f>"4"</f>
        <v>4</v>
      </c>
      <c r="H321" s="3" t="str">
        <f t="shared" si="16"/>
        <v>31100</v>
      </c>
      <c r="I321" s="3" t="s">
        <v>13</v>
      </c>
      <c r="J321" s="3" t="s">
        <v>925</v>
      </c>
      <c r="K321" s="3" t="s">
        <v>14</v>
      </c>
    </row>
    <row r="322" spans="1:11" x14ac:dyDescent="0.3">
      <c r="A322" s="15">
        <v>318</v>
      </c>
      <c r="B322" s="15" t="s">
        <v>3300</v>
      </c>
      <c r="C322" s="15" t="s">
        <v>3301</v>
      </c>
      <c r="D322" s="15" t="s">
        <v>2528</v>
      </c>
      <c r="E322" s="15" t="s">
        <v>2524</v>
      </c>
      <c r="F322" s="15" t="s">
        <v>3302</v>
      </c>
      <c r="G322" s="15" t="str">
        <f>"58"</f>
        <v>58</v>
      </c>
      <c r="H322" s="15" t="str">
        <f t="shared" si="16"/>
        <v>31100</v>
      </c>
      <c r="I322" s="15" t="s">
        <v>13</v>
      </c>
      <c r="J322" s="15" t="s">
        <v>927</v>
      </c>
      <c r="K322" s="15" t="s">
        <v>14</v>
      </c>
    </row>
    <row r="323" spans="1:11" x14ac:dyDescent="0.3">
      <c r="A323" s="15">
        <v>319</v>
      </c>
      <c r="B323" s="15" t="s">
        <v>2391</v>
      </c>
      <c r="C323" s="15" t="s">
        <v>2392</v>
      </c>
      <c r="D323" s="15" t="s">
        <v>2528</v>
      </c>
      <c r="E323" s="15" t="s">
        <v>2524</v>
      </c>
      <c r="F323" s="15" t="s">
        <v>3280</v>
      </c>
      <c r="G323" s="15" t="str">
        <f>"13"</f>
        <v>13</v>
      </c>
      <c r="H323" s="15" t="str">
        <f t="shared" si="16"/>
        <v>31100</v>
      </c>
      <c r="I323" s="15" t="s">
        <v>13</v>
      </c>
      <c r="J323" s="15" t="s">
        <v>927</v>
      </c>
      <c r="K323" s="15" t="s">
        <v>14</v>
      </c>
    </row>
    <row r="324" spans="1:11" x14ac:dyDescent="0.3">
      <c r="A324" s="15">
        <v>320</v>
      </c>
      <c r="B324" s="15" t="s">
        <v>2619</v>
      </c>
      <c r="C324" s="15" t="s">
        <v>2620</v>
      </c>
      <c r="D324" s="15" t="s">
        <v>2528</v>
      </c>
      <c r="E324" s="15" t="s">
        <v>2524</v>
      </c>
      <c r="F324" s="15" t="s">
        <v>2555</v>
      </c>
      <c r="G324" s="15" t="str">
        <f>"2"</f>
        <v>2</v>
      </c>
      <c r="H324" s="15" t="str">
        <f t="shared" si="16"/>
        <v>31100</v>
      </c>
      <c r="I324" s="15" t="s">
        <v>13</v>
      </c>
      <c r="J324" s="15" t="s">
        <v>927</v>
      </c>
      <c r="K324" s="15" t="s">
        <v>20</v>
      </c>
    </row>
    <row r="325" spans="1:11" x14ac:dyDescent="0.3">
      <c r="A325" s="15">
        <v>321</v>
      </c>
      <c r="B325" s="15" t="s">
        <v>2619</v>
      </c>
      <c r="C325" s="15" t="s">
        <v>2620</v>
      </c>
      <c r="D325" s="15" t="s">
        <v>2528</v>
      </c>
      <c r="E325" s="15" t="s">
        <v>2524</v>
      </c>
      <c r="F325" s="15" t="s">
        <v>121</v>
      </c>
      <c r="G325" s="15" t="str">
        <f>"43"</f>
        <v>43</v>
      </c>
      <c r="H325" s="15" t="str">
        <f t="shared" si="16"/>
        <v>31100</v>
      </c>
      <c r="I325" s="15" t="s">
        <v>13</v>
      </c>
      <c r="J325" s="15" t="s">
        <v>927</v>
      </c>
      <c r="K325" s="15" t="s">
        <v>14</v>
      </c>
    </row>
    <row r="326" spans="1:11" x14ac:dyDescent="0.3">
      <c r="A326" s="15">
        <v>322</v>
      </c>
      <c r="B326" s="15" t="s">
        <v>2619</v>
      </c>
      <c r="C326" s="15" t="s">
        <v>2620</v>
      </c>
      <c r="D326" s="15" t="s">
        <v>2528</v>
      </c>
      <c r="E326" s="15" t="s">
        <v>2524</v>
      </c>
      <c r="F326" s="15" t="s">
        <v>3303</v>
      </c>
      <c r="G326" s="15" t="str">
        <f>"2/B"</f>
        <v>2/B</v>
      </c>
      <c r="H326" s="15" t="str">
        <f t="shared" si="16"/>
        <v>31100</v>
      </c>
      <c r="I326" s="15" t="s">
        <v>13</v>
      </c>
      <c r="J326" s="15" t="s">
        <v>927</v>
      </c>
      <c r="K326" s="15" t="s">
        <v>20</v>
      </c>
    </row>
    <row r="327" spans="1:11" x14ac:dyDescent="0.3">
      <c r="A327" s="3">
        <v>323</v>
      </c>
      <c r="B327" s="3" t="s">
        <v>2826</v>
      </c>
      <c r="C327" s="3" t="s">
        <v>3304</v>
      </c>
      <c r="D327" s="3" t="s">
        <v>2528</v>
      </c>
      <c r="E327" s="3" t="s">
        <v>2524</v>
      </c>
      <c r="F327" s="3" t="s">
        <v>3302</v>
      </c>
      <c r="G327" s="3" t="str">
        <f>"70"</f>
        <v>70</v>
      </c>
      <c r="H327" s="3" t="str">
        <f t="shared" si="16"/>
        <v>31100</v>
      </c>
      <c r="I327" s="3" t="s">
        <v>13</v>
      </c>
      <c r="J327" s="3" t="s">
        <v>925</v>
      </c>
      <c r="K327" s="3" t="s">
        <v>14</v>
      </c>
    </row>
    <row r="328" spans="1:11" x14ac:dyDescent="0.3">
      <c r="A328" s="4">
        <v>324</v>
      </c>
      <c r="B328" s="4" t="s">
        <v>3305</v>
      </c>
      <c r="C328" s="4" t="s">
        <v>3306</v>
      </c>
      <c r="D328" s="4" t="s">
        <v>2528</v>
      </c>
      <c r="E328" s="4" t="s">
        <v>2524</v>
      </c>
      <c r="F328" s="4" t="s">
        <v>552</v>
      </c>
      <c r="G328" s="4" t="str">
        <f>"53"</f>
        <v>53</v>
      </c>
      <c r="H328" s="4" t="str">
        <f t="shared" si="16"/>
        <v>31100</v>
      </c>
      <c r="I328" s="4" t="s">
        <v>13</v>
      </c>
      <c r="J328" s="4" t="s">
        <v>926</v>
      </c>
      <c r="K328" s="4" t="s">
        <v>20</v>
      </c>
    </row>
    <row r="329" spans="1:11" x14ac:dyDescent="0.3">
      <c r="A329" s="15">
        <v>325</v>
      </c>
      <c r="B329" s="15" t="s">
        <v>1502</v>
      </c>
      <c r="C329" s="15" t="s">
        <v>709</v>
      </c>
      <c r="D329" s="15" t="s">
        <v>2528</v>
      </c>
      <c r="E329" s="15" t="s">
        <v>2524</v>
      </c>
      <c r="F329" s="15" t="s">
        <v>3146</v>
      </c>
      <c r="G329" s="15" t="str">
        <f>"117/A"</f>
        <v>117/A</v>
      </c>
      <c r="H329" s="15" t="str">
        <f t="shared" si="16"/>
        <v>31100</v>
      </c>
      <c r="I329" s="15" t="s">
        <v>13</v>
      </c>
      <c r="J329" s="15" t="s">
        <v>927</v>
      </c>
      <c r="K329" s="15" t="s">
        <v>30</v>
      </c>
    </row>
    <row r="330" spans="1:11" x14ac:dyDescent="0.3">
      <c r="A330" s="3">
        <v>326</v>
      </c>
      <c r="B330" s="3" t="s">
        <v>3307</v>
      </c>
      <c r="C330" s="3" t="s">
        <v>3308</v>
      </c>
      <c r="D330" s="3" t="s">
        <v>2528</v>
      </c>
      <c r="E330" s="3" t="s">
        <v>2524</v>
      </c>
      <c r="F330" s="3" t="s">
        <v>1851</v>
      </c>
      <c r="G330" s="3" t="str">
        <f>"22/24"</f>
        <v>22/24</v>
      </c>
      <c r="H330" s="3" t="str">
        <f t="shared" si="16"/>
        <v>31100</v>
      </c>
      <c r="I330" s="3" t="s">
        <v>13</v>
      </c>
      <c r="J330" s="3" t="s">
        <v>925</v>
      </c>
      <c r="K330" s="3" t="s">
        <v>14</v>
      </c>
    </row>
    <row r="331" spans="1:11" x14ac:dyDescent="0.3">
      <c r="A331" s="4">
        <v>327</v>
      </c>
      <c r="B331" s="4" t="s">
        <v>3309</v>
      </c>
      <c r="C331" s="4" t="s">
        <v>383</v>
      </c>
      <c r="D331" s="4" t="s">
        <v>2528</v>
      </c>
      <c r="E331" s="4" t="s">
        <v>2524</v>
      </c>
      <c r="F331" s="4" t="s">
        <v>48</v>
      </c>
      <c r="G331" s="4" t="str">
        <f>"2/A"</f>
        <v>2/A</v>
      </c>
      <c r="H331" s="4" t="str">
        <f t="shared" si="16"/>
        <v>31100</v>
      </c>
      <c r="I331" s="4" t="s">
        <v>13</v>
      </c>
      <c r="J331" s="4" t="s">
        <v>926</v>
      </c>
      <c r="K331" s="4" t="s">
        <v>14</v>
      </c>
    </row>
    <row r="332" spans="1:11" x14ac:dyDescent="0.3">
      <c r="A332" s="3">
        <v>328</v>
      </c>
      <c r="B332" s="3" t="s">
        <v>3310</v>
      </c>
      <c r="C332" s="3" t="s">
        <v>3311</v>
      </c>
      <c r="D332" s="3" t="s">
        <v>2528</v>
      </c>
      <c r="E332" s="3" t="s">
        <v>2524</v>
      </c>
      <c r="F332" s="3" t="s">
        <v>3312</v>
      </c>
      <c r="G332" s="3" t="str">
        <f>"2/F"</f>
        <v>2/F</v>
      </c>
      <c r="H332" s="3" t="str">
        <f t="shared" si="16"/>
        <v>31100</v>
      </c>
      <c r="I332" s="3" t="s">
        <v>13</v>
      </c>
      <c r="J332" s="3" t="s">
        <v>925</v>
      </c>
      <c r="K332" s="3" t="s">
        <v>1883</v>
      </c>
    </row>
    <row r="333" spans="1:11" x14ac:dyDescent="0.3">
      <c r="A333" s="3">
        <v>329</v>
      </c>
      <c r="B333" s="3" t="s">
        <v>3313</v>
      </c>
      <c r="C333" s="3" t="s">
        <v>3314</v>
      </c>
      <c r="D333" s="3" t="s">
        <v>2528</v>
      </c>
      <c r="E333" s="3" t="s">
        <v>2524</v>
      </c>
      <c r="F333" s="3" t="s">
        <v>3280</v>
      </c>
      <c r="G333" s="3" t="str">
        <f>"16"</f>
        <v>16</v>
      </c>
      <c r="H333" s="3" t="str">
        <f t="shared" si="16"/>
        <v>31100</v>
      </c>
      <c r="I333" s="3" t="s">
        <v>13</v>
      </c>
      <c r="J333" s="3" t="s">
        <v>925</v>
      </c>
      <c r="K333" s="3" t="s">
        <v>1652</v>
      </c>
    </row>
    <row r="334" spans="1:11" x14ac:dyDescent="0.3">
      <c r="A334" s="3">
        <v>330</v>
      </c>
      <c r="B334" s="3" t="s">
        <v>3315</v>
      </c>
      <c r="C334" s="3" t="s">
        <v>3316</v>
      </c>
      <c r="D334" s="3" t="s">
        <v>2528</v>
      </c>
      <c r="E334" s="3" t="s">
        <v>2524</v>
      </c>
      <c r="F334" s="3" t="s">
        <v>3317</v>
      </c>
      <c r="G334" s="3" t="str">
        <f>"29"</f>
        <v>29</v>
      </c>
      <c r="H334" s="3" t="str">
        <f t="shared" si="16"/>
        <v>31100</v>
      </c>
      <c r="I334" s="3" t="s">
        <v>13</v>
      </c>
      <c r="J334" s="3" t="s">
        <v>925</v>
      </c>
      <c r="K334" s="3" t="s">
        <v>14</v>
      </c>
    </row>
    <row r="335" spans="1:11" x14ac:dyDescent="0.3">
      <c r="A335" s="3">
        <v>331</v>
      </c>
      <c r="B335" s="3" t="s">
        <v>3318</v>
      </c>
      <c r="C335" s="3" t="s">
        <v>3319</v>
      </c>
      <c r="D335" s="3" t="s">
        <v>2528</v>
      </c>
      <c r="E335" s="3" t="s">
        <v>2524</v>
      </c>
      <c r="F335" s="3" t="s">
        <v>3312</v>
      </c>
      <c r="G335" s="3" t="str">
        <f>"6"</f>
        <v>6</v>
      </c>
      <c r="H335" s="3" t="str">
        <f t="shared" si="16"/>
        <v>31100</v>
      </c>
      <c r="I335" s="3" t="s">
        <v>13</v>
      </c>
      <c r="J335" s="3" t="s">
        <v>925</v>
      </c>
      <c r="K335" s="3" t="s">
        <v>224</v>
      </c>
    </row>
    <row r="336" spans="1:11" x14ac:dyDescent="0.3">
      <c r="A336" s="15">
        <v>332</v>
      </c>
      <c r="B336" s="15" t="s">
        <v>1000</v>
      </c>
      <c r="C336" s="15" t="s">
        <v>3320</v>
      </c>
      <c r="D336" s="15" t="s">
        <v>2528</v>
      </c>
      <c r="E336" s="15" t="s">
        <v>2524</v>
      </c>
      <c r="F336" s="15" t="s">
        <v>3321</v>
      </c>
      <c r="G336" s="15" t="str">
        <f>"352/B"</f>
        <v>352/B</v>
      </c>
      <c r="H336" s="15" t="str">
        <f t="shared" si="16"/>
        <v>31100</v>
      </c>
      <c r="I336" s="15" t="s">
        <v>13</v>
      </c>
      <c r="J336" s="15" t="s">
        <v>927</v>
      </c>
      <c r="K336" s="15" t="s">
        <v>14</v>
      </c>
    </row>
    <row r="337" spans="1:11" x14ac:dyDescent="0.3">
      <c r="A337" s="15">
        <v>333</v>
      </c>
      <c r="B337" s="15" t="s">
        <v>1000</v>
      </c>
      <c r="C337" s="15" t="s">
        <v>3322</v>
      </c>
      <c r="D337" s="15" t="s">
        <v>2528</v>
      </c>
      <c r="E337" s="15" t="s">
        <v>2524</v>
      </c>
      <c r="F337" s="15" t="s">
        <v>3173</v>
      </c>
      <c r="G337" s="15" t="str">
        <f>"110"</f>
        <v>110</v>
      </c>
      <c r="H337" s="15" t="str">
        <f t="shared" si="16"/>
        <v>31100</v>
      </c>
      <c r="I337" s="15" t="s">
        <v>13</v>
      </c>
      <c r="J337" s="15" t="s">
        <v>927</v>
      </c>
      <c r="K337" s="15" t="s">
        <v>14</v>
      </c>
    </row>
    <row r="338" spans="1:11" x14ac:dyDescent="0.3">
      <c r="A338" s="3">
        <v>334</v>
      </c>
      <c r="B338" s="3" t="s">
        <v>3323</v>
      </c>
      <c r="C338" s="3" t="s">
        <v>3324</v>
      </c>
      <c r="D338" s="3" t="s">
        <v>2528</v>
      </c>
      <c r="E338" s="3" t="s">
        <v>2524</v>
      </c>
      <c r="F338" s="3" t="s">
        <v>2158</v>
      </c>
      <c r="G338" s="3" t="str">
        <f>"19"</f>
        <v>19</v>
      </c>
      <c r="H338" s="3" t="str">
        <f t="shared" si="16"/>
        <v>31100</v>
      </c>
      <c r="I338" s="3" t="s">
        <v>13</v>
      </c>
      <c r="J338" s="3" t="s">
        <v>925</v>
      </c>
      <c r="K338" s="3" t="s">
        <v>14</v>
      </c>
    </row>
    <row r="339" spans="1:11" x14ac:dyDescent="0.3">
      <c r="A339" s="4">
        <v>335</v>
      </c>
      <c r="B339" s="4" t="s">
        <v>3325</v>
      </c>
      <c r="C339" s="4" t="s">
        <v>3326</v>
      </c>
      <c r="D339" s="4" t="s">
        <v>2528</v>
      </c>
      <c r="E339" s="4" t="s">
        <v>2524</v>
      </c>
      <c r="F339" s="4" t="s">
        <v>2385</v>
      </c>
      <c r="G339" s="4" t="str">
        <f>"10"</f>
        <v>10</v>
      </c>
      <c r="H339" s="4" t="str">
        <f t="shared" si="16"/>
        <v>31100</v>
      </c>
      <c r="I339" s="4" t="s">
        <v>13</v>
      </c>
      <c r="J339" s="4" t="s">
        <v>926</v>
      </c>
      <c r="K339" s="4" t="s">
        <v>20</v>
      </c>
    </row>
    <row r="340" spans="1:11" x14ac:dyDescent="0.3">
      <c r="A340" s="3">
        <v>336</v>
      </c>
      <c r="B340" s="3" t="s">
        <v>3327</v>
      </c>
      <c r="C340" s="3" t="s">
        <v>3328</v>
      </c>
      <c r="D340" s="3" t="s">
        <v>2528</v>
      </c>
      <c r="E340" s="3" t="s">
        <v>2524</v>
      </c>
      <c r="F340" s="3" t="s">
        <v>3329</v>
      </c>
      <c r="G340" s="3" t="str">
        <f>"14"</f>
        <v>14</v>
      </c>
      <c r="H340" s="3" t="str">
        <f t="shared" si="16"/>
        <v>31100</v>
      </c>
      <c r="I340" s="3" t="s">
        <v>13</v>
      </c>
      <c r="J340" s="3" t="s">
        <v>925</v>
      </c>
      <c r="K340" s="3" t="s">
        <v>205</v>
      </c>
    </row>
    <row r="341" spans="1:11" x14ac:dyDescent="0.3">
      <c r="A341" s="3">
        <v>337</v>
      </c>
      <c r="B341" s="3" t="s">
        <v>3330</v>
      </c>
      <c r="C341" s="3" t="s">
        <v>3331</v>
      </c>
      <c r="D341" s="3" t="s">
        <v>2528</v>
      </c>
      <c r="E341" s="3" t="s">
        <v>2524</v>
      </c>
      <c r="F341" s="3" t="s">
        <v>3332</v>
      </c>
      <c r="G341" s="3" t="str">
        <f>"25/27"</f>
        <v>25/27</v>
      </c>
      <c r="H341" s="3" t="str">
        <f t="shared" si="16"/>
        <v>31100</v>
      </c>
      <c r="I341" s="3" t="s">
        <v>13</v>
      </c>
      <c r="J341" s="3" t="s">
        <v>925</v>
      </c>
      <c r="K341" s="3" t="s">
        <v>20</v>
      </c>
    </row>
    <row r="342" spans="1:11" x14ac:dyDescent="0.3">
      <c r="A342" s="3">
        <v>338</v>
      </c>
      <c r="B342" s="3" t="s">
        <v>3333</v>
      </c>
      <c r="C342" s="3" t="s">
        <v>3334</v>
      </c>
      <c r="D342" s="3" t="s">
        <v>2528</v>
      </c>
      <c r="E342" s="3" t="s">
        <v>2524</v>
      </c>
      <c r="F342" s="3" t="s">
        <v>3335</v>
      </c>
      <c r="G342" s="3" t="str">
        <f>"2"</f>
        <v>2</v>
      </c>
      <c r="H342" s="3" t="str">
        <f t="shared" si="16"/>
        <v>31100</v>
      </c>
      <c r="I342" s="3" t="s">
        <v>13</v>
      </c>
      <c r="J342" s="3" t="s">
        <v>925</v>
      </c>
      <c r="K342" s="3" t="s">
        <v>14</v>
      </c>
    </row>
    <row r="343" spans="1:11" x14ac:dyDescent="0.3">
      <c r="A343" s="15">
        <v>339</v>
      </c>
      <c r="B343" s="15" t="s">
        <v>1681</v>
      </c>
      <c r="C343" s="15" t="s">
        <v>119</v>
      </c>
      <c r="D343" s="15" t="s">
        <v>2528</v>
      </c>
      <c r="E343" s="15" t="s">
        <v>3336</v>
      </c>
      <c r="F343" s="15" t="s">
        <v>2811</v>
      </c>
      <c r="G343" s="15" t="str">
        <f>"8"</f>
        <v>8</v>
      </c>
      <c r="H343" s="15" t="str">
        <f>"31049"</f>
        <v>31049</v>
      </c>
      <c r="I343" s="15" t="s">
        <v>13</v>
      </c>
      <c r="J343" s="15" t="s">
        <v>927</v>
      </c>
      <c r="K343" s="15" t="s">
        <v>14</v>
      </c>
    </row>
    <row r="344" spans="1:11" x14ac:dyDescent="0.3">
      <c r="A344" s="4">
        <v>340</v>
      </c>
      <c r="B344" s="4" t="s">
        <v>2687</v>
      </c>
      <c r="C344" s="4" t="s">
        <v>3337</v>
      </c>
      <c r="D344" s="4" t="s">
        <v>2528</v>
      </c>
      <c r="E344" s="4" t="s">
        <v>3338</v>
      </c>
      <c r="F344" s="4" t="s">
        <v>3339</v>
      </c>
      <c r="G344" s="4" t="str">
        <f>"1"</f>
        <v>1</v>
      </c>
      <c r="H344" s="4" t="str">
        <f>"31028"</f>
        <v>31028</v>
      </c>
      <c r="I344" s="4" t="s">
        <v>13</v>
      </c>
      <c r="J344" s="4" t="s">
        <v>926</v>
      </c>
      <c r="K344" s="4" t="s">
        <v>165</v>
      </c>
    </row>
    <row r="345" spans="1:11" x14ac:dyDescent="0.3">
      <c r="A345" s="3">
        <v>341</v>
      </c>
      <c r="B345" s="3" t="s">
        <v>3340</v>
      </c>
      <c r="C345" s="3" t="s">
        <v>3341</v>
      </c>
      <c r="D345" s="3" t="s">
        <v>2528</v>
      </c>
      <c r="E345" s="3" t="s">
        <v>3338</v>
      </c>
      <c r="F345" s="3" t="s">
        <v>3342</v>
      </c>
      <c r="G345" s="3" t="str">
        <f>"16"</f>
        <v>16</v>
      </c>
      <c r="H345" s="3" t="str">
        <f>"31028"</f>
        <v>31028</v>
      </c>
      <c r="I345" s="3" t="s">
        <v>13</v>
      </c>
      <c r="J345" s="3" t="s">
        <v>925</v>
      </c>
      <c r="K345" s="3" t="s">
        <v>3343</v>
      </c>
    </row>
    <row r="346" spans="1:11" x14ac:dyDescent="0.3">
      <c r="A346" s="3">
        <v>342</v>
      </c>
      <c r="B346" s="3" t="s">
        <v>3344</v>
      </c>
      <c r="C346" s="3" t="s">
        <v>3345</v>
      </c>
      <c r="D346" s="3" t="s">
        <v>2528</v>
      </c>
      <c r="E346" s="3" t="s">
        <v>3346</v>
      </c>
      <c r="F346" s="3" t="s">
        <v>3347</v>
      </c>
      <c r="G346" s="3" t="str">
        <f>"10"</f>
        <v>10</v>
      </c>
      <c r="H346" s="3" t="str">
        <f t="shared" ref="H346:H354" si="17">"31050"</f>
        <v>31050</v>
      </c>
      <c r="I346" s="3" t="s">
        <v>13</v>
      </c>
      <c r="J346" s="3" t="s">
        <v>925</v>
      </c>
      <c r="K346" s="3" t="s">
        <v>205</v>
      </c>
    </row>
    <row r="347" spans="1:11" x14ac:dyDescent="0.3">
      <c r="A347" s="3">
        <v>343</v>
      </c>
      <c r="B347" s="3" t="s">
        <v>3348</v>
      </c>
      <c r="C347" s="3" t="s">
        <v>3349</v>
      </c>
      <c r="D347" s="3" t="s">
        <v>2528</v>
      </c>
      <c r="E347" s="3" t="s">
        <v>3346</v>
      </c>
      <c r="F347" s="3" t="s">
        <v>3350</v>
      </c>
      <c r="G347" s="3" t="str">
        <f>"27"</f>
        <v>27</v>
      </c>
      <c r="H347" s="3" t="str">
        <f t="shared" si="17"/>
        <v>31050</v>
      </c>
      <c r="I347" s="3" t="s">
        <v>13</v>
      </c>
      <c r="J347" s="3" t="s">
        <v>925</v>
      </c>
      <c r="K347" s="3" t="s">
        <v>58</v>
      </c>
    </row>
    <row r="348" spans="1:11" x14ac:dyDescent="0.3">
      <c r="A348" s="4">
        <v>344</v>
      </c>
      <c r="B348" s="4" t="s">
        <v>3351</v>
      </c>
      <c r="C348" s="4" t="s">
        <v>3352</v>
      </c>
      <c r="D348" s="4" t="s">
        <v>2528</v>
      </c>
      <c r="E348" s="4" t="s">
        <v>3346</v>
      </c>
      <c r="F348" s="4" t="s">
        <v>3347</v>
      </c>
      <c r="G348" s="4" t="str">
        <f>"6"</f>
        <v>6</v>
      </c>
      <c r="H348" s="4" t="str">
        <f t="shared" si="17"/>
        <v>31050</v>
      </c>
      <c r="I348" s="4" t="s">
        <v>13</v>
      </c>
      <c r="J348" s="4" t="s">
        <v>926</v>
      </c>
      <c r="K348" s="4" t="s">
        <v>98</v>
      </c>
    </row>
    <row r="349" spans="1:11" x14ac:dyDescent="0.3">
      <c r="A349" s="4">
        <v>345</v>
      </c>
      <c r="B349" s="4" t="s">
        <v>3353</v>
      </c>
      <c r="C349" s="4" t="s">
        <v>3354</v>
      </c>
      <c r="D349" s="4" t="s">
        <v>2528</v>
      </c>
      <c r="E349" s="4" t="s">
        <v>3346</v>
      </c>
      <c r="F349" s="4" t="s">
        <v>3355</v>
      </c>
      <c r="G349" s="4" t="str">
        <f>"15/A"</f>
        <v>15/A</v>
      </c>
      <c r="H349" s="4" t="str">
        <f t="shared" si="17"/>
        <v>31050</v>
      </c>
      <c r="I349" s="4" t="s">
        <v>13</v>
      </c>
      <c r="J349" s="4" t="s">
        <v>926</v>
      </c>
      <c r="K349" s="4" t="s">
        <v>43</v>
      </c>
    </row>
    <row r="350" spans="1:11" x14ac:dyDescent="0.3">
      <c r="A350" s="3">
        <v>346</v>
      </c>
      <c r="B350" s="3" t="s">
        <v>3356</v>
      </c>
      <c r="C350" s="3" t="s">
        <v>3357</v>
      </c>
      <c r="D350" s="3" t="s">
        <v>2528</v>
      </c>
      <c r="E350" s="3" t="s">
        <v>3346</v>
      </c>
      <c r="F350" s="3" t="s">
        <v>48</v>
      </c>
      <c r="G350" s="3" t="str">
        <f>"7"</f>
        <v>7</v>
      </c>
      <c r="H350" s="3" t="str">
        <f t="shared" si="17"/>
        <v>31050</v>
      </c>
      <c r="I350" s="3" t="s">
        <v>13</v>
      </c>
      <c r="J350" s="3" t="s">
        <v>925</v>
      </c>
      <c r="K350" s="3" t="s">
        <v>1652</v>
      </c>
    </row>
    <row r="351" spans="1:11" x14ac:dyDescent="0.3">
      <c r="A351" s="3">
        <v>347</v>
      </c>
      <c r="B351" s="3" t="s">
        <v>3358</v>
      </c>
      <c r="C351" s="3" t="s">
        <v>3359</v>
      </c>
      <c r="D351" s="3" t="s">
        <v>2528</v>
      </c>
      <c r="E351" s="3" t="s">
        <v>3346</v>
      </c>
      <c r="F351" s="3" t="s">
        <v>1707</v>
      </c>
      <c r="G351" s="3" t="str">
        <f>"42"</f>
        <v>42</v>
      </c>
      <c r="H351" s="3" t="str">
        <f t="shared" si="17"/>
        <v>31050</v>
      </c>
      <c r="I351" s="3" t="s">
        <v>13</v>
      </c>
      <c r="J351" s="3" t="s">
        <v>925</v>
      </c>
      <c r="K351" s="3" t="s">
        <v>14</v>
      </c>
    </row>
    <row r="352" spans="1:11" x14ac:dyDescent="0.3">
      <c r="A352" s="3">
        <v>348</v>
      </c>
      <c r="B352" s="3" t="s">
        <v>3360</v>
      </c>
      <c r="C352" s="3" t="s">
        <v>708</v>
      </c>
      <c r="D352" s="3" t="s">
        <v>2528</v>
      </c>
      <c r="E352" s="3" t="s">
        <v>3346</v>
      </c>
      <c r="F352" s="3" t="s">
        <v>536</v>
      </c>
      <c r="G352" s="3" t="str">
        <f>"38"</f>
        <v>38</v>
      </c>
      <c r="H352" s="3" t="str">
        <f t="shared" si="17"/>
        <v>31050</v>
      </c>
      <c r="I352" s="3" t="s">
        <v>13</v>
      </c>
      <c r="J352" s="3" t="s">
        <v>925</v>
      </c>
      <c r="K352" s="3" t="s">
        <v>254</v>
      </c>
    </row>
    <row r="353" spans="1:11" x14ac:dyDescent="0.3">
      <c r="A353" s="4">
        <v>349</v>
      </c>
      <c r="B353" s="4" t="s">
        <v>3361</v>
      </c>
      <c r="C353" s="4" t="s">
        <v>3362</v>
      </c>
      <c r="D353" s="4" t="s">
        <v>2528</v>
      </c>
      <c r="E353" s="4" t="s">
        <v>3346</v>
      </c>
      <c r="F353" s="4" t="s">
        <v>3363</v>
      </c>
      <c r="G353" s="4" t="str">
        <f>"11"</f>
        <v>11</v>
      </c>
      <c r="H353" s="4" t="str">
        <f t="shared" si="17"/>
        <v>31050</v>
      </c>
      <c r="I353" s="4" t="s">
        <v>13</v>
      </c>
      <c r="J353" s="4" t="s">
        <v>926</v>
      </c>
      <c r="K353" s="4" t="s">
        <v>36</v>
      </c>
    </row>
    <row r="354" spans="1:11" x14ac:dyDescent="0.3">
      <c r="A354" s="3">
        <v>350</v>
      </c>
      <c r="B354" s="3" t="s">
        <v>3364</v>
      </c>
      <c r="C354" s="3" t="s">
        <v>3365</v>
      </c>
      <c r="D354" s="3" t="s">
        <v>2528</v>
      </c>
      <c r="E354" s="3" t="s">
        <v>3346</v>
      </c>
      <c r="F354" s="3" t="s">
        <v>3366</v>
      </c>
      <c r="G354" s="3" t="str">
        <f>"145"</f>
        <v>145</v>
      </c>
      <c r="H354" s="3" t="str">
        <f t="shared" si="17"/>
        <v>31050</v>
      </c>
      <c r="I354" s="3" t="s">
        <v>13</v>
      </c>
      <c r="J354" s="3" t="s">
        <v>925</v>
      </c>
      <c r="K354" s="3" t="s">
        <v>2054</v>
      </c>
    </row>
    <row r="355" spans="1:11" x14ac:dyDescent="0.3">
      <c r="A355" s="4">
        <v>351</v>
      </c>
      <c r="B355" s="4" t="s">
        <v>3367</v>
      </c>
      <c r="C355" s="4" t="s">
        <v>3368</v>
      </c>
      <c r="D355" s="4" t="s">
        <v>2528</v>
      </c>
      <c r="E355" s="4" t="s">
        <v>3369</v>
      </c>
      <c r="F355" s="4" t="s">
        <v>240</v>
      </c>
      <c r="G355" s="4" t="str">
        <f>"1"</f>
        <v>1</v>
      </c>
      <c r="H355" s="4" t="str">
        <f t="shared" ref="H355:H373" si="18">"31020"</f>
        <v>31020</v>
      </c>
      <c r="I355" s="4" t="s">
        <v>13</v>
      </c>
      <c r="J355" s="4" t="s">
        <v>926</v>
      </c>
      <c r="K355" s="4" t="s">
        <v>14</v>
      </c>
    </row>
    <row r="356" spans="1:11" x14ac:dyDescent="0.3">
      <c r="A356" s="3">
        <v>352</v>
      </c>
      <c r="B356" s="3" t="s">
        <v>3370</v>
      </c>
      <c r="C356" s="3" t="s">
        <v>3371</v>
      </c>
      <c r="D356" s="3" t="s">
        <v>2528</v>
      </c>
      <c r="E356" s="3" t="s">
        <v>3369</v>
      </c>
      <c r="F356" s="3" t="s">
        <v>461</v>
      </c>
      <c r="G356" s="3" t="str">
        <f>"66"</f>
        <v>66</v>
      </c>
      <c r="H356" s="3" t="str">
        <f t="shared" si="18"/>
        <v>31020</v>
      </c>
      <c r="I356" s="3" t="s">
        <v>13</v>
      </c>
      <c r="J356" s="3" t="s">
        <v>925</v>
      </c>
      <c r="K356" s="3" t="s">
        <v>20</v>
      </c>
    </row>
    <row r="357" spans="1:11" x14ac:dyDescent="0.3">
      <c r="A357" s="3">
        <v>353</v>
      </c>
      <c r="B357" s="3" t="s">
        <v>3372</v>
      </c>
      <c r="C357" s="3" t="s">
        <v>3373</v>
      </c>
      <c r="D357" s="3" t="s">
        <v>2528</v>
      </c>
      <c r="E357" s="3" t="s">
        <v>3369</v>
      </c>
      <c r="F357" s="3" t="s">
        <v>48</v>
      </c>
      <c r="G357" s="3" t="str">
        <f>"165"</f>
        <v>165</v>
      </c>
      <c r="H357" s="3" t="str">
        <f t="shared" si="18"/>
        <v>31020</v>
      </c>
      <c r="I357" s="3" t="s">
        <v>13</v>
      </c>
      <c r="J357" s="3" t="s">
        <v>925</v>
      </c>
      <c r="K357" s="3" t="s">
        <v>224</v>
      </c>
    </row>
    <row r="358" spans="1:11" x14ac:dyDescent="0.3">
      <c r="A358" s="3">
        <v>354</v>
      </c>
      <c r="B358" s="3" t="s">
        <v>3374</v>
      </c>
      <c r="C358" s="3" t="s">
        <v>3375</v>
      </c>
      <c r="D358" s="3" t="s">
        <v>2528</v>
      </c>
      <c r="E358" s="3" t="s">
        <v>3369</v>
      </c>
      <c r="F358" s="3" t="s">
        <v>2130</v>
      </c>
      <c r="G358" s="3" t="str">
        <f>"68"</f>
        <v>68</v>
      </c>
      <c r="H358" s="3" t="str">
        <f t="shared" si="18"/>
        <v>31020</v>
      </c>
      <c r="I358" s="3" t="s">
        <v>13</v>
      </c>
      <c r="J358" s="3" t="s">
        <v>925</v>
      </c>
      <c r="K358" s="3" t="s">
        <v>70</v>
      </c>
    </row>
    <row r="359" spans="1:11" x14ac:dyDescent="0.3">
      <c r="A359" s="4">
        <v>355</v>
      </c>
      <c r="B359" s="4" t="s">
        <v>1149</v>
      </c>
      <c r="C359" s="4" t="s">
        <v>315</v>
      </c>
      <c r="D359" s="4" t="s">
        <v>2528</v>
      </c>
      <c r="E359" s="4" t="s">
        <v>3369</v>
      </c>
      <c r="F359" s="4" t="s">
        <v>3161</v>
      </c>
      <c r="G359" s="4" t="str">
        <f>"44"</f>
        <v>44</v>
      </c>
      <c r="H359" s="4" t="str">
        <f t="shared" si="18"/>
        <v>31020</v>
      </c>
      <c r="I359" s="4" t="s">
        <v>13</v>
      </c>
      <c r="J359" s="4" t="s">
        <v>926</v>
      </c>
      <c r="K359" s="4" t="s">
        <v>14</v>
      </c>
    </row>
    <row r="360" spans="1:11" x14ac:dyDescent="0.3">
      <c r="A360" s="4">
        <v>356</v>
      </c>
      <c r="B360" s="4" t="s">
        <v>3376</v>
      </c>
      <c r="C360" s="4" t="s">
        <v>3377</v>
      </c>
      <c r="D360" s="4" t="s">
        <v>2528</v>
      </c>
      <c r="E360" s="4" t="s">
        <v>3369</v>
      </c>
      <c r="F360" s="4" t="s">
        <v>3378</v>
      </c>
      <c r="G360" s="4" t="str">
        <f>"5"</f>
        <v>5</v>
      </c>
      <c r="H360" s="4" t="str">
        <f t="shared" si="18"/>
        <v>31020</v>
      </c>
      <c r="I360" s="4" t="s">
        <v>13</v>
      </c>
      <c r="J360" s="4" t="s">
        <v>926</v>
      </c>
      <c r="K360" s="4" t="s">
        <v>165</v>
      </c>
    </row>
    <row r="361" spans="1:11" x14ac:dyDescent="0.3">
      <c r="A361" s="3">
        <v>357</v>
      </c>
      <c r="B361" s="3" t="s">
        <v>1107</v>
      </c>
      <c r="C361" s="3" t="s">
        <v>255</v>
      </c>
      <c r="D361" s="3" t="s">
        <v>2528</v>
      </c>
      <c r="E361" s="3" t="s">
        <v>3369</v>
      </c>
      <c r="F361" s="3" t="s">
        <v>3161</v>
      </c>
      <c r="G361" s="3" t="str">
        <f>"42/A"</f>
        <v>42/A</v>
      </c>
      <c r="H361" s="3" t="str">
        <f t="shared" si="18"/>
        <v>31020</v>
      </c>
      <c r="I361" s="3" t="s">
        <v>13</v>
      </c>
      <c r="J361" s="3" t="s">
        <v>925</v>
      </c>
      <c r="K361" s="3" t="s">
        <v>14</v>
      </c>
    </row>
    <row r="362" spans="1:11" x14ac:dyDescent="0.3">
      <c r="A362" s="3">
        <v>358</v>
      </c>
      <c r="B362" s="3" t="s">
        <v>3379</v>
      </c>
      <c r="C362" s="3" t="s">
        <v>3380</v>
      </c>
      <c r="D362" s="3" t="s">
        <v>2528</v>
      </c>
      <c r="E362" s="3" t="s">
        <v>3369</v>
      </c>
      <c r="F362" s="3" t="s">
        <v>3381</v>
      </c>
      <c r="G362" s="3" t="str">
        <f>"2"</f>
        <v>2</v>
      </c>
      <c r="H362" s="3" t="str">
        <f t="shared" si="18"/>
        <v>31020</v>
      </c>
      <c r="I362" s="3" t="s">
        <v>13</v>
      </c>
      <c r="J362" s="3" t="s">
        <v>925</v>
      </c>
      <c r="K362" s="3" t="s">
        <v>14</v>
      </c>
    </row>
    <row r="363" spans="1:11" x14ac:dyDescent="0.3">
      <c r="A363" s="15">
        <v>359</v>
      </c>
      <c r="B363" s="15" t="s">
        <v>3382</v>
      </c>
      <c r="C363" s="15" t="s">
        <v>3383</v>
      </c>
      <c r="D363" s="15" t="s">
        <v>2528</v>
      </c>
      <c r="E363" s="15" t="s">
        <v>3369</v>
      </c>
      <c r="F363" s="15" t="s">
        <v>3384</v>
      </c>
      <c r="G363" s="15" t="str">
        <f>"3A/I"</f>
        <v>3A/I</v>
      </c>
      <c r="H363" s="15" t="str">
        <f t="shared" si="18"/>
        <v>31020</v>
      </c>
      <c r="I363" s="15" t="s">
        <v>13</v>
      </c>
      <c r="J363" s="15" t="s">
        <v>927</v>
      </c>
      <c r="K363" s="15" t="s">
        <v>3385</v>
      </c>
    </row>
    <row r="364" spans="1:11" x14ac:dyDescent="0.3">
      <c r="A364" s="15">
        <v>360</v>
      </c>
      <c r="B364" s="15" t="s">
        <v>3103</v>
      </c>
      <c r="C364" s="15" t="s">
        <v>3386</v>
      </c>
      <c r="D364" s="15" t="s">
        <v>2528</v>
      </c>
      <c r="E364" s="15" t="s">
        <v>3369</v>
      </c>
      <c r="F364" s="15" t="s">
        <v>3384</v>
      </c>
      <c r="G364" s="15" t="str">
        <f>"1/B"</f>
        <v>1/B</v>
      </c>
      <c r="H364" s="15" t="str">
        <f t="shared" si="18"/>
        <v>31020</v>
      </c>
      <c r="I364" s="15" t="s">
        <v>13</v>
      </c>
      <c r="J364" s="15" t="s">
        <v>927</v>
      </c>
      <c r="K364" s="15" t="s">
        <v>20</v>
      </c>
    </row>
    <row r="365" spans="1:11" x14ac:dyDescent="0.3">
      <c r="A365" s="3">
        <v>361</v>
      </c>
      <c r="B365" s="3" t="s">
        <v>2907</v>
      </c>
      <c r="C365" s="3" t="s">
        <v>3387</v>
      </c>
      <c r="D365" s="3" t="s">
        <v>2528</v>
      </c>
      <c r="E365" s="3" t="s">
        <v>3369</v>
      </c>
      <c r="F365" s="3" t="s">
        <v>3388</v>
      </c>
      <c r="G365" s="3" t="str">
        <f>"5"</f>
        <v>5</v>
      </c>
      <c r="H365" s="3" t="str">
        <f t="shared" si="18"/>
        <v>31020</v>
      </c>
      <c r="I365" s="3" t="s">
        <v>13</v>
      </c>
      <c r="J365" s="3" t="s">
        <v>925</v>
      </c>
      <c r="K365" s="3" t="s">
        <v>14</v>
      </c>
    </row>
    <row r="366" spans="1:11" x14ac:dyDescent="0.3">
      <c r="A366" s="3">
        <v>362</v>
      </c>
      <c r="B366" s="3" t="s">
        <v>3389</v>
      </c>
      <c r="C366" s="3" t="s">
        <v>3390</v>
      </c>
      <c r="D366" s="3" t="s">
        <v>2528</v>
      </c>
      <c r="E366" s="3" t="s">
        <v>3369</v>
      </c>
      <c r="F366" s="3" t="s">
        <v>69</v>
      </c>
      <c r="G366" s="3" t="str">
        <f>"53/A"</f>
        <v>53/A</v>
      </c>
      <c r="H366" s="3" t="str">
        <f t="shared" si="18"/>
        <v>31020</v>
      </c>
      <c r="I366" s="3" t="s">
        <v>13</v>
      </c>
      <c r="J366" s="3" t="s">
        <v>925</v>
      </c>
      <c r="K366" s="3" t="s">
        <v>58</v>
      </c>
    </row>
    <row r="367" spans="1:11" x14ac:dyDescent="0.3">
      <c r="A367" s="3">
        <v>363</v>
      </c>
      <c r="B367" s="3" t="s">
        <v>3391</v>
      </c>
      <c r="C367" s="3" t="s">
        <v>3392</v>
      </c>
      <c r="D367" s="3" t="s">
        <v>2528</v>
      </c>
      <c r="E367" s="3" t="s">
        <v>3369</v>
      </c>
      <c r="F367" s="3" t="s">
        <v>240</v>
      </c>
      <c r="G367" s="3" t="str">
        <f>"63"</f>
        <v>63</v>
      </c>
      <c r="H367" s="3" t="str">
        <f t="shared" si="18"/>
        <v>31020</v>
      </c>
      <c r="I367" s="3" t="s">
        <v>13</v>
      </c>
      <c r="J367" s="3" t="s">
        <v>925</v>
      </c>
      <c r="K367" s="3" t="s">
        <v>224</v>
      </c>
    </row>
    <row r="368" spans="1:11" x14ac:dyDescent="0.3">
      <c r="A368" s="3">
        <v>364</v>
      </c>
      <c r="B368" s="3" t="s">
        <v>3393</v>
      </c>
      <c r="C368" s="3" t="s">
        <v>3394</v>
      </c>
      <c r="D368" s="3" t="s">
        <v>2528</v>
      </c>
      <c r="E368" s="3" t="s">
        <v>3369</v>
      </c>
      <c r="F368" s="3" t="s">
        <v>3395</v>
      </c>
      <c r="G368" s="3" t="str">
        <f>"49"</f>
        <v>49</v>
      </c>
      <c r="H368" s="3" t="str">
        <f t="shared" si="18"/>
        <v>31020</v>
      </c>
      <c r="I368" s="3" t="s">
        <v>13</v>
      </c>
      <c r="J368" s="3" t="s">
        <v>925</v>
      </c>
      <c r="K368" s="3" t="s">
        <v>3396</v>
      </c>
    </row>
    <row r="369" spans="1:11" x14ac:dyDescent="0.3">
      <c r="A369" s="4">
        <v>365</v>
      </c>
      <c r="B369" s="4" t="s">
        <v>3397</v>
      </c>
      <c r="C369" s="4" t="s">
        <v>3398</v>
      </c>
      <c r="D369" s="4" t="s">
        <v>2528</v>
      </c>
      <c r="E369" s="4" t="s">
        <v>3369</v>
      </c>
      <c r="F369" s="4" t="s">
        <v>3399</v>
      </c>
      <c r="G369" s="4" t="str">
        <f>"5"</f>
        <v>5</v>
      </c>
      <c r="H369" s="4" t="str">
        <f t="shared" si="18"/>
        <v>31020</v>
      </c>
      <c r="I369" s="4" t="s">
        <v>13</v>
      </c>
      <c r="J369" s="4" t="s">
        <v>926</v>
      </c>
      <c r="K369" s="4" t="s">
        <v>224</v>
      </c>
    </row>
    <row r="370" spans="1:11" x14ac:dyDescent="0.3">
      <c r="A370" s="4">
        <v>366</v>
      </c>
      <c r="B370" s="4" t="s">
        <v>3400</v>
      </c>
      <c r="C370" s="4" t="s">
        <v>3401</v>
      </c>
      <c r="D370" s="4" t="s">
        <v>2528</v>
      </c>
      <c r="E370" s="4" t="s">
        <v>3369</v>
      </c>
      <c r="F370" s="4" t="s">
        <v>69</v>
      </c>
      <c r="G370" s="4" t="str">
        <f>"120"</f>
        <v>120</v>
      </c>
      <c r="H370" s="4" t="str">
        <f t="shared" si="18"/>
        <v>31020</v>
      </c>
      <c r="I370" s="4" t="s">
        <v>13</v>
      </c>
      <c r="J370" s="4" t="s">
        <v>926</v>
      </c>
      <c r="K370" s="4" t="s">
        <v>14</v>
      </c>
    </row>
    <row r="371" spans="1:11" x14ac:dyDescent="0.3">
      <c r="A371" s="15">
        <v>367</v>
      </c>
      <c r="B371" s="15" t="s">
        <v>2619</v>
      </c>
      <c r="C371" s="15" t="s">
        <v>2620</v>
      </c>
      <c r="D371" s="15" t="s">
        <v>2528</v>
      </c>
      <c r="E371" s="15" t="s">
        <v>3369</v>
      </c>
      <c r="F371" s="15" t="s">
        <v>3402</v>
      </c>
      <c r="G371" s="15" t="str">
        <f>"2"</f>
        <v>2</v>
      </c>
      <c r="H371" s="15" t="str">
        <f t="shared" si="18"/>
        <v>31020</v>
      </c>
      <c r="I371" s="15" t="s">
        <v>13</v>
      </c>
      <c r="J371" s="15" t="s">
        <v>927</v>
      </c>
      <c r="K371" s="15" t="s">
        <v>20</v>
      </c>
    </row>
    <row r="372" spans="1:11" x14ac:dyDescent="0.3">
      <c r="A372" s="4">
        <v>368</v>
      </c>
      <c r="B372" s="4" t="s">
        <v>3403</v>
      </c>
      <c r="C372" s="4" t="s">
        <v>3404</v>
      </c>
      <c r="D372" s="4" t="s">
        <v>2528</v>
      </c>
      <c r="E372" s="4" t="s">
        <v>3369</v>
      </c>
      <c r="F372" s="4" t="s">
        <v>1956</v>
      </c>
      <c r="G372" s="4" t="str">
        <f>"1"</f>
        <v>1</v>
      </c>
      <c r="H372" s="4" t="str">
        <f t="shared" si="18"/>
        <v>31020</v>
      </c>
      <c r="I372" s="4" t="s">
        <v>13</v>
      </c>
      <c r="J372" s="4" t="s">
        <v>926</v>
      </c>
      <c r="K372" s="4" t="s">
        <v>411</v>
      </c>
    </row>
    <row r="373" spans="1:11" x14ac:dyDescent="0.3">
      <c r="A373" s="15">
        <v>369</v>
      </c>
      <c r="B373" s="15" t="s">
        <v>1000</v>
      </c>
      <c r="C373" s="15" t="s">
        <v>3405</v>
      </c>
      <c r="D373" s="15" t="s">
        <v>2528</v>
      </c>
      <c r="E373" s="15" t="s">
        <v>3369</v>
      </c>
      <c r="F373" s="15" t="s">
        <v>3161</v>
      </c>
      <c r="G373" s="15" t="str">
        <f>"7"</f>
        <v>7</v>
      </c>
      <c r="H373" s="15" t="str">
        <f t="shared" si="18"/>
        <v>31020</v>
      </c>
      <c r="I373" s="15" t="s">
        <v>13</v>
      </c>
      <c r="J373" s="15" t="s">
        <v>927</v>
      </c>
      <c r="K373" s="15" t="s">
        <v>14</v>
      </c>
    </row>
    <row r="374" spans="1:11" x14ac:dyDescent="0.3">
      <c r="A374" s="3">
        <v>370</v>
      </c>
      <c r="B374" s="3" t="s">
        <v>3406</v>
      </c>
      <c r="C374" s="3" t="s">
        <v>3407</v>
      </c>
      <c r="D374" s="3" t="s">
        <v>2528</v>
      </c>
      <c r="E374" s="3" t="s">
        <v>3408</v>
      </c>
      <c r="F374" s="3" t="s">
        <v>3409</v>
      </c>
      <c r="G374" s="3" t="str">
        <f>"22"</f>
        <v>22</v>
      </c>
      <c r="H374" s="3" t="str">
        <f t="shared" ref="H374:H384" si="19">"31029"</f>
        <v>31029</v>
      </c>
      <c r="I374" s="3" t="s">
        <v>13</v>
      </c>
      <c r="J374" s="3" t="s">
        <v>925</v>
      </c>
      <c r="K374" s="3" t="s">
        <v>36</v>
      </c>
    </row>
    <row r="375" spans="1:11" x14ac:dyDescent="0.3">
      <c r="A375" s="9">
        <v>371</v>
      </c>
      <c r="B375" s="9" t="s">
        <v>3410</v>
      </c>
      <c r="C375" s="9" t="s">
        <v>3411</v>
      </c>
      <c r="D375" s="9" t="s">
        <v>2528</v>
      </c>
      <c r="E375" s="9" t="s">
        <v>3408</v>
      </c>
      <c r="F375" s="9" t="s">
        <v>3412</v>
      </c>
      <c r="G375" s="9" t="str">
        <f>"10"</f>
        <v>10</v>
      </c>
      <c r="H375" s="9" t="str">
        <f t="shared" si="19"/>
        <v>31029</v>
      </c>
      <c r="I375" s="9" t="s">
        <v>13</v>
      </c>
      <c r="J375" s="9" t="s">
        <v>924</v>
      </c>
      <c r="K375" s="9" t="s">
        <v>14</v>
      </c>
    </row>
    <row r="376" spans="1:11" x14ac:dyDescent="0.3">
      <c r="A376" s="3">
        <v>372</v>
      </c>
      <c r="B376" s="3" t="s">
        <v>3413</v>
      </c>
      <c r="C376" s="3" t="s">
        <v>3414</v>
      </c>
      <c r="D376" s="3" t="s">
        <v>2528</v>
      </c>
      <c r="E376" s="3" t="s">
        <v>3408</v>
      </c>
      <c r="F376" s="3" t="s">
        <v>3415</v>
      </c>
      <c r="G376" s="3" t="str">
        <f>"70"</f>
        <v>70</v>
      </c>
      <c r="H376" s="3" t="str">
        <f t="shared" si="19"/>
        <v>31029</v>
      </c>
      <c r="I376" s="3" t="s">
        <v>13</v>
      </c>
      <c r="J376" s="3" t="s">
        <v>925</v>
      </c>
      <c r="K376" s="3" t="s">
        <v>43</v>
      </c>
    </row>
    <row r="377" spans="1:11" x14ac:dyDescent="0.3">
      <c r="A377" s="3">
        <v>373</v>
      </c>
      <c r="B377" s="3" t="s">
        <v>3416</v>
      </c>
      <c r="C377" s="3" t="s">
        <v>3417</v>
      </c>
      <c r="D377" s="3" t="s">
        <v>2528</v>
      </c>
      <c r="E377" s="3" t="s">
        <v>3408</v>
      </c>
      <c r="F377" s="3" t="s">
        <v>3418</v>
      </c>
      <c r="G377" s="3" t="str">
        <f>"152"</f>
        <v>152</v>
      </c>
      <c r="H377" s="3" t="str">
        <f t="shared" si="19"/>
        <v>31029</v>
      </c>
      <c r="I377" s="3" t="s">
        <v>13</v>
      </c>
      <c r="J377" s="3" t="s">
        <v>925</v>
      </c>
      <c r="K377" s="3" t="s">
        <v>14</v>
      </c>
    </row>
    <row r="378" spans="1:11" x14ac:dyDescent="0.3">
      <c r="A378" s="3">
        <v>374</v>
      </c>
      <c r="B378" s="3" t="s">
        <v>3419</v>
      </c>
      <c r="C378" s="3" t="s">
        <v>3420</v>
      </c>
      <c r="D378" s="3" t="s">
        <v>2528</v>
      </c>
      <c r="E378" s="3" t="s">
        <v>3408</v>
      </c>
      <c r="F378" s="3" t="s">
        <v>3421</v>
      </c>
      <c r="G378" s="3" t="str">
        <f>"20"</f>
        <v>20</v>
      </c>
      <c r="H378" s="3" t="str">
        <f t="shared" si="19"/>
        <v>31029</v>
      </c>
      <c r="I378" s="3" t="s">
        <v>13</v>
      </c>
      <c r="J378" s="3" t="s">
        <v>925</v>
      </c>
      <c r="K378" s="3" t="s">
        <v>36</v>
      </c>
    </row>
    <row r="379" spans="1:11" x14ac:dyDescent="0.3">
      <c r="A379" s="3">
        <v>375</v>
      </c>
      <c r="B379" s="3" t="s">
        <v>3422</v>
      </c>
      <c r="C379" s="3" t="s">
        <v>3423</v>
      </c>
      <c r="D379" s="3" t="s">
        <v>2528</v>
      </c>
      <c r="E379" s="3" t="s">
        <v>3408</v>
      </c>
      <c r="F379" s="3" t="s">
        <v>3424</v>
      </c>
      <c r="G379" s="3" t="str">
        <f>"132"</f>
        <v>132</v>
      </c>
      <c r="H379" s="3" t="str">
        <f t="shared" si="19"/>
        <v>31029</v>
      </c>
      <c r="I379" s="3" t="s">
        <v>13</v>
      </c>
      <c r="J379" s="3" t="s">
        <v>925</v>
      </c>
      <c r="K379" s="3" t="s">
        <v>58</v>
      </c>
    </row>
    <row r="380" spans="1:11" x14ac:dyDescent="0.3">
      <c r="A380" s="3">
        <v>376</v>
      </c>
      <c r="B380" s="3" t="s">
        <v>3425</v>
      </c>
      <c r="C380" s="3" t="s">
        <v>2594</v>
      </c>
      <c r="D380" s="3" t="s">
        <v>2528</v>
      </c>
      <c r="E380" s="3" t="s">
        <v>3408</v>
      </c>
      <c r="F380" s="3" t="s">
        <v>3426</v>
      </c>
      <c r="G380" s="3" t="str">
        <f>"3"</f>
        <v>3</v>
      </c>
      <c r="H380" s="3" t="str">
        <f t="shared" si="19"/>
        <v>31029</v>
      </c>
      <c r="I380" s="3" t="s">
        <v>13</v>
      </c>
      <c r="J380" s="3" t="s">
        <v>925</v>
      </c>
      <c r="K380" s="3" t="s">
        <v>27</v>
      </c>
    </row>
    <row r="381" spans="1:11" x14ac:dyDescent="0.3">
      <c r="A381" s="3">
        <v>377</v>
      </c>
      <c r="B381" s="3" t="s">
        <v>3427</v>
      </c>
      <c r="C381" s="3" t="s">
        <v>3428</v>
      </c>
      <c r="D381" s="3" t="s">
        <v>2528</v>
      </c>
      <c r="E381" s="3" t="s">
        <v>3408</v>
      </c>
      <c r="F381" s="3" t="s">
        <v>3429</v>
      </c>
      <c r="G381" s="3" t="str">
        <f>"50"</f>
        <v>50</v>
      </c>
      <c r="H381" s="3" t="str">
        <f t="shared" si="19"/>
        <v>31029</v>
      </c>
      <c r="I381" s="3" t="s">
        <v>13</v>
      </c>
      <c r="J381" s="3" t="s">
        <v>925</v>
      </c>
      <c r="K381" s="3" t="s">
        <v>20</v>
      </c>
    </row>
    <row r="382" spans="1:11" x14ac:dyDescent="0.3">
      <c r="A382" s="4">
        <v>378</v>
      </c>
      <c r="B382" s="4" t="s">
        <v>2687</v>
      </c>
      <c r="C382" s="4" t="s">
        <v>3337</v>
      </c>
      <c r="D382" s="4" t="s">
        <v>2528</v>
      </c>
      <c r="E382" s="4" t="s">
        <v>3408</v>
      </c>
      <c r="F382" s="4" t="s">
        <v>3430</v>
      </c>
      <c r="G382" s="4" t="str">
        <f>"51"</f>
        <v>51</v>
      </c>
      <c r="H382" s="4" t="str">
        <f t="shared" si="19"/>
        <v>31029</v>
      </c>
      <c r="I382" s="4" t="s">
        <v>13</v>
      </c>
      <c r="J382" s="4" t="s">
        <v>926</v>
      </c>
      <c r="K382" s="4" t="s">
        <v>342</v>
      </c>
    </row>
    <row r="383" spans="1:11" x14ac:dyDescent="0.3">
      <c r="A383" s="15">
        <v>379</v>
      </c>
      <c r="B383" s="15" t="s">
        <v>2619</v>
      </c>
      <c r="C383" s="15" t="s">
        <v>2620</v>
      </c>
      <c r="D383" s="15" t="s">
        <v>2528</v>
      </c>
      <c r="E383" s="15" t="s">
        <v>3408</v>
      </c>
      <c r="F383" s="15" t="s">
        <v>3431</v>
      </c>
      <c r="G383" s="15" t="str">
        <f>"133"</f>
        <v>133</v>
      </c>
      <c r="H383" s="15" t="str">
        <f t="shared" si="19"/>
        <v>31029</v>
      </c>
      <c r="I383" s="15" t="s">
        <v>13</v>
      </c>
      <c r="J383" s="15" t="s">
        <v>927</v>
      </c>
      <c r="K383" s="15" t="s">
        <v>20</v>
      </c>
    </row>
    <row r="384" spans="1:11" x14ac:dyDescent="0.3">
      <c r="A384" s="15">
        <v>380</v>
      </c>
      <c r="B384" s="15" t="s">
        <v>1000</v>
      </c>
      <c r="C384" s="15" t="s">
        <v>3432</v>
      </c>
      <c r="D384" s="15" t="s">
        <v>2528</v>
      </c>
      <c r="E384" s="15" t="s">
        <v>3408</v>
      </c>
      <c r="F384" s="15" t="s">
        <v>3433</v>
      </c>
      <c r="G384" s="15" t="str">
        <f>"39"</f>
        <v>39</v>
      </c>
      <c r="H384" s="15" t="str">
        <f t="shared" si="19"/>
        <v>31029</v>
      </c>
      <c r="I384" s="15" t="s">
        <v>13</v>
      </c>
      <c r="J384" s="15" t="s">
        <v>927</v>
      </c>
      <c r="K384" s="15" t="s">
        <v>20</v>
      </c>
    </row>
    <row r="385" spans="1:11" x14ac:dyDescent="0.3">
      <c r="A385" s="15">
        <v>381</v>
      </c>
      <c r="B385" s="15" t="s">
        <v>3434</v>
      </c>
      <c r="C385" s="15" t="s">
        <v>3435</v>
      </c>
      <c r="D385" s="15" t="s">
        <v>2528</v>
      </c>
      <c r="E385" s="15" t="s">
        <v>3436</v>
      </c>
      <c r="F385" s="15" t="s">
        <v>23</v>
      </c>
      <c r="G385" s="15" t="str">
        <f>"1/A"</f>
        <v>1/A</v>
      </c>
      <c r="H385" s="15" t="str">
        <f t="shared" ref="H385:H390" si="20">"31040"</f>
        <v>31040</v>
      </c>
      <c r="I385" s="15" t="s">
        <v>13</v>
      </c>
      <c r="J385" s="15" t="s">
        <v>927</v>
      </c>
      <c r="K385" s="15" t="s">
        <v>195</v>
      </c>
    </row>
    <row r="386" spans="1:11" x14ac:dyDescent="0.3">
      <c r="A386" s="3">
        <v>382</v>
      </c>
      <c r="B386" s="3" t="s">
        <v>3437</v>
      </c>
      <c r="C386" s="3" t="s">
        <v>3438</v>
      </c>
      <c r="D386" s="3" t="s">
        <v>2528</v>
      </c>
      <c r="E386" s="3" t="s">
        <v>3436</v>
      </c>
      <c r="F386" s="3" t="s">
        <v>3439</v>
      </c>
      <c r="G386" s="3" t="str">
        <f>"24"</f>
        <v>24</v>
      </c>
      <c r="H386" s="3" t="str">
        <f t="shared" si="20"/>
        <v>31040</v>
      </c>
      <c r="I386" s="3" t="s">
        <v>13</v>
      </c>
      <c r="J386" s="3" t="s">
        <v>925</v>
      </c>
      <c r="K386" s="3" t="s">
        <v>36</v>
      </c>
    </row>
    <row r="387" spans="1:11" x14ac:dyDescent="0.3">
      <c r="A387" s="4">
        <v>383</v>
      </c>
      <c r="B387" s="4" t="s">
        <v>3440</v>
      </c>
      <c r="C387" s="4" t="s">
        <v>435</v>
      </c>
      <c r="D387" s="4" t="s">
        <v>2528</v>
      </c>
      <c r="E387" s="4" t="s">
        <v>3436</v>
      </c>
      <c r="F387" s="4" t="s">
        <v>3441</v>
      </c>
      <c r="G387" s="4" t="str">
        <f>"4/A"</f>
        <v>4/A</v>
      </c>
      <c r="H387" s="4" t="str">
        <f t="shared" si="20"/>
        <v>31040</v>
      </c>
      <c r="I387" s="4" t="s">
        <v>13</v>
      </c>
      <c r="J387" s="4" t="s">
        <v>926</v>
      </c>
      <c r="K387" s="4" t="s">
        <v>20</v>
      </c>
    </row>
    <row r="388" spans="1:11" x14ac:dyDescent="0.3">
      <c r="A388" s="15">
        <v>384</v>
      </c>
      <c r="B388" s="15" t="s">
        <v>3442</v>
      </c>
      <c r="C388" s="15" t="s">
        <v>3443</v>
      </c>
      <c r="D388" s="15" t="s">
        <v>2528</v>
      </c>
      <c r="E388" s="15" t="s">
        <v>3436</v>
      </c>
      <c r="F388" s="15" t="s">
        <v>3439</v>
      </c>
      <c r="G388" s="15" t="str">
        <f>"305"</f>
        <v>305</v>
      </c>
      <c r="H388" s="15" t="str">
        <f t="shared" si="20"/>
        <v>31040</v>
      </c>
      <c r="I388" s="15" t="s">
        <v>13</v>
      </c>
      <c r="J388" s="15" t="s">
        <v>927</v>
      </c>
      <c r="K388" s="15" t="s">
        <v>14</v>
      </c>
    </row>
    <row r="389" spans="1:11" x14ac:dyDescent="0.3">
      <c r="A389" s="4">
        <v>385</v>
      </c>
      <c r="B389" s="4" t="s">
        <v>3444</v>
      </c>
      <c r="C389" s="4" t="s">
        <v>3445</v>
      </c>
      <c r="D389" s="4" t="s">
        <v>2528</v>
      </c>
      <c r="E389" s="4" t="s">
        <v>3436</v>
      </c>
      <c r="F389" s="4" t="s">
        <v>2814</v>
      </c>
      <c r="G389" s="4" t="str">
        <f>"2"</f>
        <v>2</v>
      </c>
      <c r="H389" s="4" t="str">
        <f t="shared" si="20"/>
        <v>31040</v>
      </c>
      <c r="I389" s="4" t="s">
        <v>13</v>
      </c>
      <c r="J389" s="4" t="s">
        <v>926</v>
      </c>
      <c r="K389" s="4" t="s">
        <v>20</v>
      </c>
    </row>
    <row r="390" spans="1:11" x14ac:dyDescent="0.3">
      <c r="A390" s="4">
        <v>386</v>
      </c>
      <c r="B390" s="4" t="s">
        <v>3446</v>
      </c>
      <c r="C390" s="4" t="s">
        <v>3447</v>
      </c>
      <c r="D390" s="4" t="s">
        <v>2528</v>
      </c>
      <c r="E390" s="4" t="s">
        <v>3436</v>
      </c>
      <c r="F390" s="4" t="s">
        <v>3448</v>
      </c>
      <c r="G390" s="4" t="str">
        <f>"8"</f>
        <v>8</v>
      </c>
      <c r="H390" s="4" t="str">
        <f t="shared" si="20"/>
        <v>31040</v>
      </c>
      <c r="I390" s="4" t="s">
        <v>13</v>
      </c>
      <c r="J390" s="4" t="s">
        <v>926</v>
      </c>
      <c r="K390" s="4" t="s">
        <v>777</v>
      </c>
    </row>
    <row r="391" spans="1:11" x14ac:dyDescent="0.3">
      <c r="A391" s="4">
        <v>387</v>
      </c>
      <c r="B391" s="4" t="s">
        <v>3449</v>
      </c>
      <c r="C391" s="4" t="s">
        <v>3450</v>
      </c>
      <c r="D391" s="4" t="s">
        <v>2528</v>
      </c>
      <c r="E391" s="4" t="s">
        <v>3451</v>
      </c>
      <c r="F391" s="4" t="s">
        <v>3173</v>
      </c>
      <c r="G391" s="4" t="str">
        <f>"21/C"</f>
        <v>21/C</v>
      </c>
      <c r="H391" s="4" t="str">
        <f>"31059"</f>
        <v>31059</v>
      </c>
      <c r="I391" s="4" t="s">
        <v>13</v>
      </c>
      <c r="J391" s="4" t="s">
        <v>926</v>
      </c>
      <c r="K391" s="4" t="s">
        <v>254</v>
      </c>
    </row>
    <row r="392" spans="1:11" x14ac:dyDescent="0.3">
      <c r="A392" s="4">
        <v>388</v>
      </c>
      <c r="B392" s="4" t="s">
        <v>3452</v>
      </c>
      <c r="C392" s="4" t="s">
        <v>762</v>
      </c>
      <c r="D392" s="4" t="s">
        <v>2528</v>
      </c>
      <c r="E392" s="4" t="s">
        <v>3451</v>
      </c>
      <c r="F392" s="4" t="s">
        <v>679</v>
      </c>
      <c r="G392" s="4" t="str">
        <f>"3"</f>
        <v>3</v>
      </c>
      <c r="H392" s="4" t="str">
        <f>"31059"</f>
        <v>31059</v>
      </c>
      <c r="I392" s="4" t="s">
        <v>13</v>
      </c>
      <c r="J392" s="4" t="s">
        <v>926</v>
      </c>
      <c r="K392" s="4" t="s">
        <v>36</v>
      </c>
    </row>
    <row r="393" spans="1:11" x14ac:dyDescent="0.3">
      <c r="A393" s="4">
        <v>389</v>
      </c>
      <c r="B393" s="4" t="s">
        <v>3453</v>
      </c>
      <c r="C393" s="4" t="s">
        <v>3454</v>
      </c>
      <c r="D393" s="4" t="s">
        <v>2528</v>
      </c>
      <c r="E393" s="4" t="s">
        <v>3451</v>
      </c>
      <c r="F393" s="4" t="s">
        <v>3086</v>
      </c>
      <c r="G393" s="4" t="str">
        <f>"19-22"</f>
        <v>19-22</v>
      </c>
      <c r="H393" s="4" t="str">
        <f>"31059"</f>
        <v>31059</v>
      </c>
      <c r="I393" s="4" t="s">
        <v>13</v>
      </c>
      <c r="J393" s="4" t="s">
        <v>926</v>
      </c>
      <c r="K393" s="4" t="s">
        <v>14</v>
      </c>
    </row>
    <row r="394" spans="1:11" x14ac:dyDescent="0.3">
      <c r="A394" s="3">
        <v>390</v>
      </c>
      <c r="B394" s="3" t="s">
        <v>3243</v>
      </c>
      <c r="C394" s="3" t="s">
        <v>3455</v>
      </c>
      <c r="D394" s="3" t="s">
        <v>2528</v>
      </c>
      <c r="E394" s="3" t="s">
        <v>3451</v>
      </c>
      <c r="F394" s="3" t="s">
        <v>3456</v>
      </c>
      <c r="G394" s="3" t="str">
        <f>"1"</f>
        <v>1</v>
      </c>
      <c r="H394" s="3" t="str">
        <f>"31059"</f>
        <v>31059</v>
      </c>
      <c r="I394" s="3" t="s">
        <v>13</v>
      </c>
      <c r="J394" s="3" t="s">
        <v>925</v>
      </c>
      <c r="K394" s="3" t="s">
        <v>58</v>
      </c>
    </row>
    <row r="395" spans="1:11" x14ac:dyDescent="0.3">
      <c r="A395" s="15">
        <v>391</v>
      </c>
      <c r="B395" s="15" t="s">
        <v>1502</v>
      </c>
      <c r="C395" s="15" t="s">
        <v>2737</v>
      </c>
      <c r="D395" s="15" t="s">
        <v>2528</v>
      </c>
      <c r="E395" s="15" t="s">
        <v>3451</v>
      </c>
      <c r="F395" s="15" t="s">
        <v>3086</v>
      </c>
      <c r="G395" s="15" t="str">
        <f>"19"</f>
        <v>19</v>
      </c>
      <c r="H395" s="15" t="str">
        <f>"31059"</f>
        <v>31059</v>
      </c>
      <c r="I395" s="15" t="s">
        <v>13</v>
      </c>
      <c r="J395" s="15" t="s">
        <v>927</v>
      </c>
      <c r="K395" s="15" t="s">
        <v>20</v>
      </c>
    </row>
  </sheetData>
  <autoFilter ref="A4:K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2:K60"/>
  <sheetViews>
    <sheetView workbookViewId="0">
      <selection activeCell="C25" sqref="C25"/>
    </sheetView>
  </sheetViews>
  <sheetFormatPr defaultRowHeight="14.4" x14ac:dyDescent="0.3"/>
  <cols>
    <col min="1" max="1" width="3.5546875" bestFit="1" customWidth="1"/>
    <col min="2" max="2" width="31.109375" bestFit="1" customWidth="1"/>
    <col min="3" max="3" width="24" bestFit="1" customWidth="1"/>
    <col min="4" max="4" width="13.88671875" bestFit="1" customWidth="1"/>
    <col min="5" max="5" width="26.44140625" bestFit="1" customWidth="1"/>
    <col min="6" max="6" width="35" bestFit="1" customWidth="1"/>
    <col min="7" max="7" width="7.88671875" bestFit="1" customWidth="1"/>
    <col min="8" max="8" width="6" bestFit="1" customWidth="1"/>
    <col min="9" max="9" width="8.33203125" bestFit="1" customWidth="1"/>
    <col min="10" max="10" width="42.5546875" bestFit="1" customWidth="1"/>
    <col min="11" max="11" width="53.77734375" bestFit="1" customWidth="1"/>
  </cols>
  <sheetData>
    <row r="2" spans="1:11" ht="18.75" x14ac:dyDescent="0.3">
      <c r="E2" s="1"/>
      <c r="F2" s="1" t="s">
        <v>5108</v>
      </c>
    </row>
    <row r="4" spans="1:11" ht="15" x14ac:dyDescent="0.25">
      <c r="A4" s="18" t="s">
        <v>929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930</v>
      </c>
      <c r="K4" s="18" t="s">
        <v>8</v>
      </c>
    </row>
    <row r="5" spans="1:11" ht="15" x14ac:dyDescent="0.25">
      <c r="A5" s="6">
        <v>1</v>
      </c>
      <c r="B5" s="6" t="s">
        <v>931</v>
      </c>
      <c r="C5" s="6" t="s">
        <v>9</v>
      </c>
      <c r="D5" s="6" t="s">
        <v>5109</v>
      </c>
      <c r="E5" s="6" t="s">
        <v>5110</v>
      </c>
      <c r="F5" s="6" t="s">
        <v>5111</v>
      </c>
      <c r="G5" s="6" t="str">
        <f>"1"</f>
        <v>1</v>
      </c>
      <c r="H5" s="6" t="str">
        <f t="shared" ref="H5:H11" si="0">"45011"</f>
        <v>45011</v>
      </c>
      <c r="I5" s="6" t="s">
        <v>13</v>
      </c>
      <c r="J5" s="6" t="s">
        <v>927</v>
      </c>
      <c r="K5" s="6" t="s">
        <v>14</v>
      </c>
    </row>
    <row r="6" spans="1:11" ht="15" x14ac:dyDescent="0.25">
      <c r="A6" s="6">
        <v>2</v>
      </c>
      <c r="B6" s="6" t="s">
        <v>931</v>
      </c>
      <c r="C6" s="6" t="s">
        <v>54</v>
      </c>
      <c r="D6" s="6" t="s">
        <v>5109</v>
      </c>
      <c r="E6" s="6" t="s">
        <v>5110</v>
      </c>
      <c r="F6" s="6" t="s">
        <v>5112</v>
      </c>
      <c r="G6" s="6" t="str">
        <f>"22"</f>
        <v>22</v>
      </c>
      <c r="H6" s="6" t="str">
        <f t="shared" si="0"/>
        <v>45011</v>
      </c>
      <c r="I6" s="6" t="s">
        <v>13</v>
      </c>
      <c r="J6" s="6" t="s">
        <v>927</v>
      </c>
      <c r="K6" s="6" t="s">
        <v>14</v>
      </c>
    </row>
    <row r="7" spans="1:11" ht="15" x14ac:dyDescent="0.25">
      <c r="A7" s="5">
        <v>3</v>
      </c>
      <c r="B7" s="5" t="s">
        <v>5113</v>
      </c>
      <c r="C7" s="5" t="s">
        <v>5114</v>
      </c>
      <c r="D7" s="5" t="s">
        <v>5109</v>
      </c>
      <c r="E7" s="5" t="s">
        <v>5110</v>
      </c>
      <c r="F7" s="5" t="s">
        <v>5115</v>
      </c>
      <c r="G7" s="5" t="str">
        <f>"9"</f>
        <v>9</v>
      </c>
      <c r="H7" s="5" t="str">
        <f t="shared" si="0"/>
        <v>45011</v>
      </c>
      <c r="I7" s="5" t="s">
        <v>13</v>
      </c>
      <c r="J7" s="5" t="s">
        <v>5116</v>
      </c>
      <c r="K7" s="5" t="s">
        <v>20</v>
      </c>
    </row>
    <row r="8" spans="1:11" ht="15" x14ac:dyDescent="0.25">
      <c r="A8" s="6">
        <v>4</v>
      </c>
      <c r="B8" s="6" t="s">
        <v>1626</v>
      </c>
      <c r="C8" s="6" t="s">
        <v>2317</v>
      </c>
      <c r="D8" s="6" t="s">
        <v>5109</v>
      </c>
      <c r="E8" s="6" t="s">
        <v>5110</v>
      </c>
      <c r="F8" s="6" t="s">
        <v>5117</v>
      </c>
      <c r="G8" s="6" t="str">
        <f>"10"</f>
        <v>10</v>
      </c>
      <c r="H8" s="6" t="str">
        <f t="shared" si="0"/>
        <v>45011</v>
      </c>
      <c r="I8" s="6" t="s">
        <v>13</v>
      </c>
      <c r="J8" s="6" t="s">
        <v>927</v>
      </c>
      <c r="K8" s="6" t="s">
        <v>14</v>
      </c>
    </row>
    <row r="9" spans="1:11" ht="15" x14ac:dyDescent="0.25">
      <c r="A9" s="6">
        <v>5</v>
      </c>
      <c r="B9" s="6" t="s">
        <v>990</v>
      </c>
      <c r="C9" s="6" t="s">
        <v>86</v>
      </c>
      <c r="D9" s="6" t="s">
        <v>5109</v>
      </c>
      <c r="E9" s="6" t="s">
        <v>5110</v>
      </c>
      <c r="F9" s="6" t="s">
        <v>5118</v>
      </c>
      <c r="G9" s="6" t="str">
        <f>"2"</f>
        <v>2</v>
      </c>
      <c r="H9" s="6" t="str">
        <f t="shared" si="0"/>
        <v>45011</v>
      </c>
      <c r="I9" s="6" t="s">
        <v>13</v>
      </c>
      <c r="J9" s="6" t="s">
        <v>927</v>
      </c>
      <c r="K9" s="6" t="s">
        <v>14</v>
      </c>
    </row>
    <row r="10" spans="1:11" ht="15" x14ac:dyDescent="0.25">
      <c r="A10" s="5">
        <v>6</v>
      </c>
      <c r="B10" s="5" t="s">
        <v>5119</v>
      </c>
      <c r="C10" s="5" t="s">
        <v>5120</v>
      </c>
      <c r="D10" s="5" t="s">
        <v>5109</v>
      </c>
      <c r="E10" s="5" t="s">
        <v>5110</v>
      </c>
      <c r="F10" s="5" t="s">
        <v>5121</v>
      </c>
      <c r="G10" s="5" t="str">
        <f>"30"</f>
        <v>30</v>
      </c>
      <c r="H10" s="5" t="str">
        <f t="shared" si="0"/>
        <v>45011</v>
      </c>
      <c r="I10" s="5" t="s">
        <v>13</v>
      </c>
      <c r="J10" s="5" t="s">
        <v>5116</v>
      </c>
      <c r="K10" s="5" t="s">
        <v>235</v>
      </c>
    </row>
    <row r="11" spans="1:11" ht="15" x14ac:dyDescent="0.25">
      <c r="A11" s="5">
        <v>7</v>
      </c>
      <c r="B11" s="5" t="s">
        <v>5122</v>
      </c>
      <c r="C11" s="5" t="s">
        <v>5123</v>
      </c>
      <c r="D11" s="5" t="s">
        <v>5109</v>
      </c>
      <c r="E11" s="5" t="s">
        <v>5110</v>
      </c>
      <c r="F11" s="5" t="s">
        <v>5111</v>
      </c>
      <c r="G11" s="5" t="str">
        <f>"37"</f>
        <v>37</v>
      </c>
      <c r="H11" s="5" t="str">
        <f t="shared" si="0"/>
        <v>45011</v>
      </c>
      <c r="I11" s="5" t="s">
        <v>13</v>
      </c>
      <c r="J11" s="5" t="s">
        <v>5116</v>
      </c>
      <c r="K11" s="5" t="s">
        <v>58</v>
      </c>
    </row>
    <row r="12" spans="1:11" ht="15" x14ac:dyDescent="0.25">
      <c r="A12" s="7">
        <v>8</v>
      </c>
      <c r="B12" s="7" t="s">
        <v>5124</v>
      </c>
      <c r="C12" s="7" t="s">
        <v>5125</v>
      </c>
      <c r="D12" s="7" t="s">
        <v>5109</v>
      </c>
      <c r="E12" s="7" t="s">
        <v>5126</v>
      </c>
      <c r="F12" s="7" t="s">
        <v>5127</v>
      </c>
      <c r="G12" s="7" t="str">
        <f>"14"</f>
        <v>14</v>
      </c>
      <c r="H12" s="7" t="str">
        <f>"45021"</f>
        <v>45021</v>
      </c>
      <c r="I12" s="7" t="s">
        <v>13</v>
      </c>
      <c r="J12" s="7" t="s">
        <v>926</v>
      </c>
      <c r="K12" s="7" t="s">
        <v>14</v>
      </c>
    </row>
    <row r="13" spans="1:11" ht="15" x14ac:dyDescent="0.25">
      <c r="A13" s="5">
        <v>9</v>
      </c>
      <c r="B13" s="5" t="s">
        <v>5128</v>
      </c>
      <c r="C13" s="5" t="s">
        <v>5129</v>
      </c>
      <c r="D13" s="5" t="s">
        <v>5109</v>
      </c>
      <c r="E13" s="5" t="s">
        <v>5126</v>
      </c>
      <c r="F13" s="5" t="s">
        <v>5130</v>
      </c>
      <c r="G13" s="5" t="str">
        <f>"40"</f>
        <v>40</v>
      </c>
      <c r="H13" s="5" t="str">
        <f>"45021"</f>
        <v>45021</v>
      </c>
      <c r="I13" s="5" t="s">
        <v>13</v>
      </c>
      <c r="J13" s="5" t="s">
        <v>5116</v>
      </c>
      <c r="K13" s="5" t="s">
        <v>345</v>
      </c>
    </row>
    <row r="14" spans="1:11" ht="15" x14ac:dyDescent="0.25">
      <c r="A14" s="6">
        <v>10</v>
      </c>
      <c r="B14" s="6" t="s">
        <v>1010</v>
      </c>
      <c r="C14" s="6" t="s">
        <v>110</v>
      </c>
      <c r="D14" s="6" t="s">
        <v>5109</v>
      </c>
      <c r="E14" s="6" t="s">
        <v>5126</v>
      </c>
      <c r="F14" s="6" t="s">
        <v>260</v>
      </c>
      <c r="G14" s="6" t="str">
        <f>"SNC"</f>
        <v>SNC</v>
      </c>
      <c r="H14" s="6" t="str">
        <f>"45021"</f>
        <v>45021</v>
      </c>
      <c r="I14" s="6" t="s">
        <v>13</v>
      </c>
      <c r="J14" s="6" t="s">
        <v>927</v>
      </c>
      <c r="K14" s="6" t="s">
        <v>14</v>
      </c>
    </row>
    <row r="15" spans="1:11" ht="15" x14ac:dyDescent="0.25">
      <c r="A15" s="6">
        <v>11</v>
      </c>
      <c r="B15" s="6" t="s">
        <v>1584</v>
      </c>
      <c r="C15" s="6" t="s">
        <v>3624</v>
      </c>
      <c r="D15" s="6" t="s">
        <v>5109</v>
      </c>
      <c r="E15" s="6" t="s">
        <v>5131</v>
      </c>
      <c r="F15" s="6" t="s">
        <v>5132</v>
      </c>
      <c r="G15" s="6" t="str">
        <f>"1769/18"</f>
        <v>1769/18</v>
      </c>
      <c r="H15" s="6" t="str">
        <f>"45020"</f>
        <v>45020</v>
      </c>
      <c r="I15" s="6" t="s">
        <v>13</v>
      </c>
      <c r="J15" s="6" t="s">
        <v>927</v>
      </c>
      <c r="K15" s="6" t="s">
        <v>14</v>
      </c>
    </row>
    <row r="16" spans="1:11" ht="15" x14ac:dyDescent="0.25">
      <c r="A16" s="6">
        <v>12</v>
      </c>
      <c r="B16" s="6" t="s">
        <v>1626</v>
      </c>
      <c r="C16" s="6" t="s">
        <v>1712</v>
      </c>
      <c r="D16" s="6" t="s">
        <v>5109</v>
      </c>
      <c r="E16" s="6" t="s">
        <v>5133</v>
      </c>
      <c r="F16" s="6" t="s">
        <v>5134</v>
      </c>
      <c r="G16" s="6" t="str">
        <f>"69"</f>
        <v>69</v>
      </c>
      <c r="H16" s="6" t="str">
        <f>"45026"</f>
        <v>45026</v>
      </c>
      <c r="I16" s="6" t="s">
        <v>13</v>
      </c>
      <c r="J16" s="6" t="s">
        <v>927</v>
      </c>
      <c r="K16" s="6" t="s">
        <v>14</v>
      </c>
    </row>
    <row r="17" spans="1:11" ht="15" x14ac:dyDescent="0.25">
      <c r="A17" s="6">
        <v>13</v>
      </c>
      <c r="B17" s="6" t="s">
        <v>1010</v>
      </c>
      <c r="C17" s="6" t="s">
        <v>110</v>
      </c>
      <c r="D17" s="6" t="s">
        <v>5109</v>
      </c>
      <c r="E17" s="6" t="s">
        <v>5133</v>
      </c>
      <c r="F17" s="6" t="s">
        <v>5135</v>
      </c>
      <c r="G17" s="6" t="str">
        <f>"53"</f>
        <v>53</v>
      </c>
      <c r="H17" s="6" t="str">
        <f>"45026"</f>
        <v>45026</v>
      </c>
      <c r="I17" s="6" t="s">
        <v>13</v>
      </c>
      <c r="J17" s="6" t="s">
        <v>927</v>
      </c>
      <c r="K17" s="6" t="s">
        <v>14</v>
      </c>
    </row>
    <row r="18" spans="1:11" ht="15" x14ac:dyDescent="0.25">
      <c r="A18" s="10">
        <v>14</v>
      </c>
      <c r="B18" s="10" t="s">
        <v>5136</v>
      </c>
      <c r="C18" s="10" t="s">
        <v>5137</v>
      </c>
      <c r="D18" s="10" t="s">
        <v>5109</v>
      </c>
      <c r="E18" s="10" t="s">
        <v>5133</v>
      </c>
      <c r="F18" s="10" t="s">
        <v>5138</v>
      </c>
      <c r="G18" s="10" t="str">
        <f>"9"</f>
        <v>9</v>
      </c>
      <c r="H18" s="10" t="str">
        <f>"45026"</f>
        <v>45026</v>
      </c>
      <c r="I18" s="10" t="s">
        <v>13</v>
      </c>
      <c r="J18" s="10" t="s">
        <v>928</v>
      </c>
      <c r="K18" s="10" t="s">
        <v>14</v>
      </c>
    </row>
    <row r="19" spans="1:11" ht="15" x14ac:dyDescent="0.25">
      <c r="A19" s="6">
        <v>15</v>
      </c>
      <c r="B19" s="6" t="s">
        <v>1000</v>
      </c>
      <c r="C19" s="6" t="s">
        <v>5139</v>
      </c>
      <c r="D19" s="6" t="s">
        <v>5109</v>
      </c>
      <c r="E19" s="6" t="s">
        <v>5133</v>
      </c>
      <c r="F19" s="6" t="s">
        <v>5138</v>
      </c>
      <c r="G19" s="6" t="str">
        <f>"1/3"</f>
        <v>1/3</v>
      </c>
      <c r="H19" s="6" t="str">
        <f>"45026"</f>
        <v>45026</v>
      </c>
      <c r="I19" s="6" t="s">
        <v>13</v>
      </c>
      <c r="J19" s="6" t="s">
        <v>927</v>
      </c>
      <c r="K19" s="6" t="s">
        <v>195</v>
      </c>
    </row>
    <row r="20" spans="1:11" ht="15" x14ac:dyDescent="0.25">
      <c r="A20" s="6">
        <v>16</v>
      </c>
      <c r="B20" s="6" t="s">
        <v>1626</v>
      </c>
      <c r="C20" s="6" t="s">
        <v>1712</v>
      </c>
      <c r="D20" s="6" t="s">
        <v>5109</v>
      </c>
      <c r="E20" s="6" t="s">
        <v>5140</v>
      </c>
      <c r="F20" s="6" t="s">
        <v>5141</v>
      </c>
      <c r="G20" s="6" t="str">
        <f>"76"</f>
        <v>76</v>
      </c>
      <c r="H20" s="6" t="str">
        <f>"45030"</f>
        <v>45030</v>
      </c>
      <c r="I20" s="6" t="s">
        <v>13</v>
      </c>
      <c r="J20" s="6" t="s">
        <v>927</v>
      </c>
      <c r="K20" s="6" t="s">
        <v>14</v>
      </c>
    </row>
    <row r="21" spans="1:11" ht="15" x14ac:dyDescent="0.25">
      <c r="A21" s="6">
        <v>17</v>
      </c>
      <c r="B21" s="6" t="s">
        <v>1010</v>
      </c>
      <c r="C21" s="6" t="s">
        <v>110</v>
      </c>
      <c r="D21" s="6" t="s">
        <v>5109</v>
      </c>
      <c r="E21" s="6" t="s">
        <v>5140</v>
      </c>
      <c r="F21" s="6" t="s">
        <v>5142</v>
      </c>
      <c r="G21" s="6" t="str">
        <f>"2"</f>
        <v>2</v>
      </c>
      <c r="H21" s="6" t="str">
        <f>"45030"</f>
        <v>45030</v>
      </c>
      <c r="I21" s="6" t="s">
        <v>13</v>
      </c>
      <c r="J21" s="6" t="s">
        <v>927</v>
      </c>
      <c r="K21" s="6" t="s">
        <v>14</v>
      </c>
    </row>
    <row r="22" spans="1:11" ht="15" x14ac:dyDescent="0.25">
      <c r="A22" s="6">
        <v>18</v>
      </c>
      <c r="B22" s="6" t="s">
        <v>1584</v>
      </c>
      <c r="C22" s="6" t="s">
        <v>815</v>
      </c>
      <c r="D22" s="6" t="s">
        <v>5109</v>
      </c>
      <c r="E22" s="6" t="s">
        <v>5140</v>
      </c>
      <c r="F22" s="6" t="s">
        <v>5143</v>
      </c>
      <c r="G22" s="6" t="str">
        <f>"30"</f>
        <v>30</v>
      </c>
      <c r="H22" s="6" t="str">
        <f>"45030"</f>
        <v>45030</v>
      </c>
      <c r="I22" s="6" t="s">
        <v>13</v>
      </c>
      <c r="J22" s="6" t="s">
        <v>927</v>
      </c>
      <c r="K22" s="6" t="s">
        <v>14</v>
      </c>
    </row>
    <row r="23" spans="1:11" ht="15" x14ac:dyDescent="0.25">
      <c r="A23" s="5">
        <v>19</v>
      </c>
      <c r="B23" s="5" t="s">
        <v>5144</v>
      </c>
      <c r="C23" s="5" t="s">
        <v>5145</v>
      </c>
      <c r="D23" s="5" t="s">
        <v>5109</v>
      </c>
      <c r="E23" s="5" t="s">
        <v>5146</v>
      </c>
      <c r="F23" s="5" t="s">
        <v>4218</v>
      </c>
      <c r="G23" s="5" t="str">
        <f>"34"</f>
        <v>34</v>
      </c>
      <c r="H23" s="5" t="str">
        <f>"45010"</f>
        <v>45010</v>
      </c>
      <c r="I23" s="5" t="s">
        <v>13</v>
      </c>
      <c r="J23" s="5" t="s">
        <v>5116</v>
      </c>
      <c r="K23" s="5" t="s">
        <v>36</v>
      </c>
    </row>
    <row r="24" spans="1:11" ht="15" x14ac:dyDescent="0.25">
      <c r="A24" s="5">
        <v>20</v>
      </c>
      <c r="B24" s="5" t="s">
        <v>5147</v>
      </c>
      <c r="C24" s="5" t="s">
        <v>883</v>
      </c>
      <c r="D24" s="5" t="s">
        <v>5109</v>
      </c>
      <c r="E24" s="5" t="s">
        <v>5148</v>
      </c>
      <c r="F24" s="5" t="s">
        <v>5149</v>
      </c>
      <c r="G24" s="5" t="str">
        <f>"11"</f>
        <v>11</v>
      </c>
      <c r="H24" s="5" t="str">
        <f>"45014"</f>
        <v>45014</v>
      </c>
      <c r="I24" s="5" t="s">
        <v>13</v>
      </c>
      <c r="J24" s="5" t="s">
        <v>5116</v>
      </c>
      <c r="K24" s="5" t="s">
        <v>98</v>
      </c>
    </row>
    <row r="25" spans="1:11" ht="15" x14ac:dyDescent="0.25">
      <c r="A25" s="6">
        <v>21</v>
      </c>
      <c r="B25" s="6" t="s">
        <v>931</v>
      </c>
      <c r="C25" s="6" t="s">
        <v>101</v>
      </c>
      <c r="D25" s="6" t="s">
        <v>5109</v>
      </c>
      <c r="E25" s="6" t="s">
        <v>5150</v>
      </c>
      <c r="F25" s="6" t="s">
        <v>69</v>
      </c>
      <c r="G25" s="6" t="str">
        <f>"112"</f>
        <v>112</v>
      </c>
      <c r="H25" s="6" t="str">
        <f>"45010"</f>
        <v>45010</v>
      </c>
      <c r="I25" s="6" t="s">
        <v>13</v>
      </c>
      <c r="J25" s="6" t="s">
        <v>927</v>
      </c>
      <c r="K25" s="6" t="s">
        <v>14</v>
      </c>
    </row>
    <row r="26" spans="1:11" ht="15" x14ac:dyDescent="0.25">
      <c r="A26" s="7">
        <v>22</v>
      </c>
      <c r="B26" s="7" t="s">
        <v>5151</v>
      </c>
      <c r="C26" s="7" t="s">
        <v>5152</v>
      </c>
      <c r="D26" s="7" t="s">
        <v>5109</v>
      </c>
      <c r="E26" s="7" t="s">
        <v>5150</v>
      </c>
      <c r="F26" s="7" t="s">
        <v>5153</v>
      </c>
      <c r="G26" s="7" t="str">
        <f>"26"</f>
        <v>26</v>
      </c>
      <c r="H26" s="7" t="str">
        <f>"45010"</f>
        <v>45010</v>
      </c>
      <c r="I26" s="7" t="s">
        <v>13</v>
      </c>
      <c r="J26" s="7" t="s">
        <v>926</v>
      </c>
      <c r="K26" s="7" t="s">
        <v>845</v>
      </c>
    </row>
    <row r="27" spans="1:11" ht="15" x14ac:dyDescent="0.25">
      <c r="A27" s="5">
        <v>23</v>
      </c>
      <c r="B27" s="5" t="s">
        <v>5154</v>
      </c>
      <c r="C27" s="5" t="s">
        <v>5155</v>
      </c>
      <c r="D27" s="5" t="s">
        <v>5109</v>
      </c>
      <c r="E27" s="5" t="s">
        <v>5150</v>
      </c>
      <c r="F27" s="5" t="s">
        <v>3661</v>
      </c>
      <c r="G27" s="5" t="str">
        <f>"59"</f>
        <v>59</v>
      </c>
      <c r="H27" s="5" t="str">
        <f>"45010"</f>
        <v>45010</v>
      </c>
      <c r="I27" s="5" t="s">
        <v>13</v>
      </c>
      <c r="J27" s="5" t="s">
        <v>5116</v>
      </c>
      <c r="K27" s="5" t="s">
        <v>36</v>
      </c>
    </row>
    <row r="28" spans="1:11" ht="15" x14ac:dyDescent="0.25">
      <c r="A28" s="5">
        <v>24</v>
      </c>
      <c r="B28" s="5" t="s">
        <v>5156</v>
      </c>
      <c r="C28" s="5" t="s">
        <v>4273</v>
      </c>
      <c r="D28" s="5" t="s">
        <v>5109</v>
      </c>
      <c r="E28" s="5" t="s">
        <v>5108</v>
      </c>
      <c r="F28" s="5" t="s">
        <v>5157</v>
      </c>
      <c r="G28" s="5" t="str">
        <f>"169"</f>
        <v>169</v>
      </c>
      <c r="H28" s="5" t="str">
        <f t="shared" ref="H28:H57" si="1">"45100"</f>
        <v>45100</v>
      </c>
      <c r="I28" s="5" t="s">
        <v>13</v>
      </c>
      <c r="J28" s="5" t="s">
        <v>5116</v>
      </c>
      <c r="K28" s="5" t="s">
        <v>224</v>
      </c>
    </row>
    <row r="29" spans="1:11" ht="15" x14ac:dyDescent="0.25">
      <c r="A29" s="7">
        <v>25</v>
      </c>
      <c r="B29" s="7" t="s">
        <v>931</v>
      </c>
      <c r="C29" s="7" t="s">
        <v>9</v>
      </c>
      <c r="D29" s="7" t="s">
        <v>5109</v>
      </c>
      <c r="E29" s="7" t="s">
        <v>5108</v>
      </c>
      <c r="F29" s="7" t="s">
        <v>5158</v>
      </c>
      <c r="G29" s="7" t="str">
        <f>"SNC"</f>
        <v>SNC</v>
      </c>
      <c r="H29" s="7" t="str">
        <f t="shared" si="1"/>
        <v>45100</v>
      </c>
      <c r="I29" s="7" t="s">
        <v>13</v>
      </c>
      <c r="J29" s="7" t="s">
        <v>926</v>
      </c>
      <c r="K29" s="7" t="s">
        <v>14</v>
      </c>
    </row>
    <row r="30" spans="1:11" ht="15" x14ac:dyDescent="0.25">
      <c r="A30" s="6">
        <v>26</v>
      </c>
      <c r="B30" s="6" t="s">
        <v>931</v>
      </c>
      <c r="C30" s="6" t="s">
        <v>791</v>
      </c>
      <c r="D30" s="6" t="s">
        <v>5109</v>
      </c>
      <c r="E30" s="6" t="s">
        <v>5108</v>
      </c>
      <c r="F30" s="6" t="s">
        <v>5157</v>
      </c>
      <c r="G30" s="6" t="str">
        <f>"193"</f>
        <v>193</v>
      </c>
      <c r="H30" s="6" t="str">
        <f t="shared" si="1"/>
        <v>45100</v>
      </c>
      <c r="I30" s="6" t="s">
        <v>13</v>
      </c>
      <c r="J30" s="6" t="s">
        <v>927</v>
      </c>
      <c r="K30" s="6" t="s">
        <v>14</v>
      </c>
    </row>
    <row r="31" spans="1:11" ht="15" x14ac:dyDescent="0.25">
      <c r="A31" s="5">
        <v>27</v>
      </c>
      <c r="B31" s="5" t="s">
        <v>5159</v>
      </c>
      <c r="C31" s="5" t="s">
        <v>5160</v>
      </c>
      <c r="D31" s="5" t="s">
        <v>5109</v>
      </c>
      <c r="E31" s="5" t="s">
        <v>5108</v>
      </c>
      <c r="F31" s="5" t="s">
        <v>5158</v>
      </c>
      <c r="G31" s="5" t="str">
        <f>"59"</f>
        <v>59</v>
      </c>
      <c r="H31" s="5" t="str">
        <f t="shared" si="1"/>
        <v>45100</v>
      </c>
      <c r="I31" s="5" t="s">
        <v>13</v>
      </c>
      <c r="J31" s="5" t="s">
        <v>5116</v>
      </c>
      <c r="K31" s="5" t="s">
        <v>14</v>
      </c>
    </row>
    <row r="32" spans="1:11" ht="15" x14ac:dyDescent="0.25">
      <c r="A32" s="7">
        <v>28</v>
      </c>
      <c r="B32" s="7" t="s">
        <v>5161</v>
      </c>
      <c r="C32" s="7" t="s">
        <v>5162</v>
      </c>
      <c r="D32" s="7" t="s">
        <v>5109</v>
      </c>
      <c r="E32" s="7" t="s">
        <v>5108</v>
      </c>
      <c r="F32" s="7" t="s">
        <v>5163</v>
      </c>
      <c r="G32" s="7" t="str">
        <f>"5"</f>
        <v>5</v>
      </c>
      <c r="H32" s="7" t="str">
        <f t="shared" si="1"/>
        <v>45100</v>
      </c>
      <c r="I32" s="7" t="s">
        <v>13</v>
      </c>
      <c r="J32" s="7" t="s">
        <v>926</v>
      </c>
      <c r="K32" s="7" t="s">
        <v>95</v>
      </c>
    </row>
    <row r="33" spans="1:11" ht="15" x14ac:dyDescent="0.25">
      <c r="A33" s="7">
        <v>29</v>
      </c>
      <c r="B33" s="7" t="s">
        <v>5164</v>
      </c>
      <c r="C33" s="7" t="s">
        <v>5165</v>
      </c>
      <c r="D33" s="7" t="s">
        <v>5109</v>
      </c>
      <c r="E33" s="7" t="s">
        <v>5108</v>
      </c>
      <c r="F33" s="7" t="s">
        <v>5166</v>
      </c>
      <c r="G33" s="7" t="str">
        <f>"34"</f>
        <v>34</v>
      </c>
      <c r="H33" s="7" t="str">
        <f t="shared" si="1"/>
        <v>45100</v>
      </c>
      <c r="I33" s="7" t="s">
        <v>13</v>
      </c>
      <c r="J33" s="7" t="s">
        <v>926</v>
      </c>
      <c r="K33" s="7" t="s">
        <v>20</v>
      </c>
    </row>
    <row r="34" spans="1:11" ht="15" x14ac:dyDescent="0.25">
      <c r="A34" s="5">
        <v>30</v>
      </c>
      <c r="B34" s="5" t="s">
        <v>5167</v>
      </c>
      <c r="C34" s="5" t="s">
        <v>5168</v>
      </c>
      <c r="D34" s="5" t="s">
        <v>5109</v>
      </c>
      <c r="E34" s="5" t="s">
        <v>5108</v>
      </c>
      <c r="F34" s="5" t="s">
        <v>5169</v>
      </c>
      <c r="G34" s="5" t="str">
        <f>"5"</f>
        <v>5</v>
      </c>
      <c r="H34" s="5" t="str">
        <f t="shared" si="1"/>
        <v>45100</v>
      </c>
      <c r="I34" s="5" t="s">
        <v>13</v>
      </c>
      <c r="J34" s="5" t="s">
        <v>5116</v>
      </c>
      <c r="K34" s="5" t="s">
        <v>224</v>
      </c>
    </row>
    <row r="35" spans="1:11" ht="15" x14ac:dyDescent="0.25">
      <c r="A35" s="7">
        <v>31</v>
      </c>
      <c r="B35" s="7" t="s">
        <v>5170</v>
      </c>
      <c r="C35" s="7" t="s">
        <v>5171</v>
      </c>
      <c r="D35" s="7" t="s">
        <v>5109</v>
      </c>
      <c r="E35" s="7" t="s">
        <v>5108</v>
      </c>
      <c r="F35" s="7" t="s">
        <v>455</v>
      </c>
      <c r="G35" s="7" t="str">
        <f>"158"</f>
        <v>158</v>
      </c>
      <c r="H35" s="7" t="str">
        <f t="shared" si="1"/>
        <v>45100</v>
      </c>
      <c r="I35" s="7" t="s">
        <v>13</v>
      </c>
      <c r="J35" s="7" t="s">
        <v>926</v>
      </c>
      <c r="K35" s="7" t="s">
        <v>20</v>
      </c>
    </row>
    <row r="36" spans="1:11" ht="15" x14ac:dyDescent="0.25">
      <c r="A36" s="5">
        <v>32</v>
      </c>
      <c r="B36" s="5" t="s">
        <v>5172</v>
      </c>
      <c r="C36" s="5" t="s">
        <v>5173</v>
      </c>
      <c r="D36" s="5" t="s">
        <v>5109</v>
      </c>
      <c r="E36" s="5" t="s">
        <v>5108</v>
      </c>
      <c r="F36" s="5" t="s">
        <v>891</v>
      </c>
      <c r="G36" s="5" t="str">
        <f>"12/M"</f>
        <v>12/M</v>
      </c>
      <c r="H36" s="5" t="str">
        <f t="shared" si="1"/>
        <v>45100</v>
      </c>
      <c r="I36" s="5" t="s">
        <v>13</v>
      </c>
      <c r="J36" s="5" t="s">
        <v>5116</v>
      </c>
      <c r="K36" s="5" t="s">
        <v>144</v>
      </c>
    </row>
    <row r="37" spans="1:11" ht="15" x14ac:dyDescent="0.25">
      <c r="A37" s="6">
        <v>33</v>
      </c>
      <c r="B37" s="6" t="s">
        <v>1626</v>
      </c>
      <c r="C37" s="6" t="s">
        <v>2317</v>
      </c>
      <c r="D37" s="6" t="s">
        <v>5109</v>
      </c>
      <c r="E37" s="6" t="s">
        <v>5108</v>
      </c>
      <c r="F37" s="6" t="s">
        <v>5174</v>
      </c>
      <c r="G37" s="6" t="str">
        <f>"9"</f>
        <v>9</v>
      </c>
      <c r="H37" s="6" t="str">
        <f t="shared" si="1"/>
        <v>45100</v>
      </c>
      <c r="I37" s="6" t="s">
        <v>13</v>
      </c>
      <c r="J37" s="6" t="s">
        <v>927</v>
      </c>
      <c r="K37" s="6" t="s">
        <v>14</v>
      </c>
    </row>
    <row r="38" spans="1:11" ht="15" x14ac:dyDescent="0.25">
      <c r="A38" s="6">
        <v>34</v>
      </c>
      <c r="B38" s="6" t="s">
        <v>1626</v>
      </c>
      <c r="C38" s="6" t="s">
        <v>2317</v>
      </c>
      <c r="D38" s="6" t="s">
        <v>5109</v>
      </c>
      <c r="E38" s="6" t="s">
        <v>5108</v>
      </c>
      <c r="F38" s="6" t="s">
        <v>2401</v>
      </c>
      <c r="G38" s="6" t="str">
        <f>"91"</f>
        <v>91</v>
      </c>
      <c r="H38" s="6" t="str">
        <f t="shared" si="1"/>
        <v>45100</v>
      </c>
      <c r="I38" s="6" t="s">
        <v>13</v>
      </c>
      <c r="J38" s="6" t="s">
        <v>927</v>
      </c>
      <c r="K38" s="6" t="s">
        <v>14</v>
      </c>
    </row>
    <row r="39" spans="1:11" x14ac:dyDescent="0.3">
      <c r="A39" s="5">
        <v>35</v>
      </c>
      <c r="B39" s="5" t="s">
        <v>5175</v>
      </c>
      <c r="C39" s="5" t="s">
        <v>5176</v>
      </c>
      <c r="D39" s="5" t="s">
        <v>5109</v>
      </c>
      <c r="E39" s="5" t="s">
        <v>5108</v>
      </c>
      <c r="F39" s="5" t="s">
        <v>5177</v>
      </c>
      <c r="G39" s="5" t="str">
        <f>"16"</f>
        <v>16</v>
      </c>
      <c r="H39" s="5" t="str">
        <f t="shared" si="1"/>
        <v>45100</v>
      </c>
      <c r="I39" s="5" t="s">
        <v>13</v>
      </c>
      <c r="J39" s="5" t="s">
        <v>5116</v>
      </c>
      <c r="K39" s="5" t="s">
        <v>14</v>
      </c>
    </row>
    <row r="40" spans="1:11" x14ac:dyDescent="0.3">
      <c r="A40" s="5">
        <v>36</v>
      </c>
      <c r="B40" s="5" t="s">
        <v>5178</v>
      </c>
      <c r="C40" s="5" t="s">
        <v>5179</v>
      </c>
      <c r="D40" s="5" t="s">
        <v>5109</v>
      </c>
      <c r="E40" s="5" t="s">
        <v>5108</v>
      </c>
      <c r="F40" s="5" t="s">
        <v>5180</v>
      </c>
      <c r="G40" s="5" t="str">
        <f>"88"</f>
        <v>88</v>
      </c>
      <c r="H40" s="5" t="str">
        <f t="shared" si="1"/>
        <v>45100</v>
      </c>
      <c r="I40" s="5" t="s">
        <v>13</v>
      </c>
      <c r="J40" s="5" t="s">
        <v>5116</v>
      </c>
      <c r="K40" s="5" t="s">
        <v>139</v>
      </c>
    </row>
    <row r="41" spans="1:11" x14ac:dyDescent="0.3">
      <c r="A41" s="7">
        <v>37</v>
      </c>
      <c r="B41" s="7" t="s">
        <v>5181</v>
      </c>
      <c r="C41" s="7" t="s">
        <v>5182</v>
      </c>
      <c r="D41" s="7" t="s">
        <v>5109</v>
      </c>
      <c r="E41" s="7" t="s">
        <v>5108</v>
      </c>
      <c r="F41" s="7" t="s">
        <v>5183</v>
      </c>
      <c r="G41" s="7" t="str">
        <f>"3"</f>
        <v>3</v>
      </c>
      <c r="H41" s="7" t="str">
        <f t="shared" si="1"/>
        <v>45100</v>
      </c>
      <c r="I41" s="7" t="s">
        <v>13</v>
      </c>
      <c r="J41" s="7" t="s">
        <v>926</v>
      </c>
      <c r="K41" s="7" t="s">
        <v>254</v>
      </c>
    </row>
    <row r="42" spans="1:11" x14ac:dyDescent="0.3">
      <c r="A42" s="7">
        <v>38</v>
      </c>
      <c r="B42" s="7" t="s">
        <v>5184</v>
      </c>
      <c r="C42" s="7" t="s">
        <v>5185</v>
      </c>
      <c r="D42" s="7" t="s">
        <v>5109</v>
      </c>
      <c r="E42" s="7" t="s">
        <v>5108</v>
      </c>
      <c r="F42" s="7" t="s">
        <v>5186</v>
      </c>
      <c r="G42" s="7" t="str">
        <f>"5"</f>
        <v>5</v>
      </c>
      <c r="H42" s="7" t="str">
        <f t="shared" si="1"/>
        <v>45100</v>
      </c>
      <c r="I42" s="7" t="s">
        <v>13</v>
      </c>
      <c r="J42" s="7" t="s">
        <v>926</v>
      </c>
      <c r="K42" s="7" t="s">
        <v>398</v>
      </c>
    </row>
    <row r="43" spans="1:11" x14ac:dyDescent="0.3">
      <c r="A43" s="5">
        <v>39</v>
      </c>
      <c r="B43" s="5" t="s">
        <v>5187</v>
      </c>
      <c r="C43" s="5" t="s">
        <v>5188</v>
      </c>
      <c r="D43" s="5" t="s">
        <v>5109</v>
      </c>
      <c r="E43" s="5" t="s">
        <v>5108</v>
      </c>
      <c r="F43" s="5" t="s">
        <v>5189</v>
      </c>
      <c r="G43" s="5" t="str">
        <f>"13"</f>
        <v>13</v>
      </c>
      <c r="H43" s="5" t="str">
        <f t="shared" si="1"/>
        <v>45100</v>
      </c>
      <c r="I43" s="5" t="s">
        <v>13</v>
      </c>
      <c r="J43" s="5" t="s">
        <v>5116</v>
      </c>
      <c r="K43" s="5" t="s">
        <v>224</v>
      </c>
    </row>
    <row r="44" spans="1:11" x14ac:dyDescent="0.3">
      <c r="A44" s="6">
        <v>40</v>
      </c>
      <c r="B44" s="6" t="s">
        <v>5190</v>
      </c>
      <c r="C44" s="6" t="s">
        <v>5191</v>
      </c>
      <c r="D44" s="6" t="s">
        <v>5109</v>
      </c>
      <c r="E44" s="6" t="s">
        <v>5108</v>
      </c>
      <c r="F44" s="6" t="s">
        <v>455</v>
      </c>
      <c r="G44" s="6" t="str">
        <f>"91/93"</f>
        <v>91/93</v>
      </c>
      <c r="H44" s="6" t="str">
        <f t="shared" si="1"/>
        <v>45100</v>
      </c>
      <c r="I44" s="6" t="s">
        <v>13</v>
      </c>
      <c r="J44" s="6" t="s">
        <v>927</v>
      </c>
      <c r="K44" s="6" t="s">
        <v>5192</v>
      </c>
    </row>
    <row r="45" spans="1:11" x14ac:dyDescent="0.3">
      <c r="A45" s="10">
        <v>41</v>
      </c>
      <c r="B45" s="10" t="s">
        <v>5193</v>
      </c>
      <c r="C45" s="10" t="s">
        <v>5194</v>
      </c>
      <c r="D45" s="10" t="s">
        <v>5109</v>
      </c>
      <c r="E45" s="10" t="s">
        <v>5108</v>
      </c>
      <c r="F45" s="10" t="s">
        <v>5195</v>
      </c>
      <c r="G45" s="10" t="str">
        <f>"11"</f>
        <v>11</v>
      </c>
      <c r="H45" s="10" t="str">
        <f t="shared" si="1"/>
        <v>45100</v>
      </c>
      <c r="I45" s="10" t="s">
        <v>13</v>
      </c>
      <c r="J45" s="10" t="s">
        <v>928</v>
      </c>
      <c r="K45" s="10" t="s">
        <v>205</v>
      </c>
    </row>
    <row r="46" spans="1:11" x14ac:dyDescent="0.3">
      <c r="A46" s="5">
        <v>42</v>
      </c>
      <c r="B46" s="5" t="s">
        <v>5196</v>
      </c>
      <c r="C46" s="5" t="s">
        <v>5197</v>
      </c>
      <c r="D46" s="5" t="s">
        <v>5109</v>
      </c>
      <c r="E46" s="5" t="s">
        <v>5108</v>
      </c>
      <c r="F46" s="5" t="s">
        <v>5198</v>
      </c>
      <c r="G46" s="5" t="str">
        <f>"9/C"</f>
        <v>9/C</v>
      </c>
      <c r="H46" s="5" t="str">
        <f t="shared" si="1"/>
        <v>45100</v>
      </c>
      <c r="I46" s="5" t="s">
        <v>13</v>
      </c>
      <c r="J46" s="5" t="s">
        <v>5116</v>
      </c>
      <c r="K46" s="5" t="s">
        <v>224</v>
      </c>
    </row>
    <row r="47" spans="1:11" x14ac:dyDescent="0.3">
      <c r="A47" s="7">
        <v>43</v>
      </c>
      <c r="B47" s="7" t="s">
        <v>5199</v>
      </c>
      <c r="C47" s="7" t="s">
        <v>5200</v>
      </c>
      <c r="D47" s="7" t="s">
        <v>5109</v>
      </c>
      <c r="E47" s="7" t="s">
        <v>5108</v>
      </c>
      <c r="F47" s="7" t="s">
        <v>2163</v>
      </c>
      <c r="G47" s="7" t="str">
        <f>"38"</f>
        <v>38</v>
      </c>
      <c r="H47" s="7" t="str">
        <f t="shared" si="1"/>
        <v>45100</v>
      </c>
      <c r="I47" s="7" t="s">
        <v>13</v>
      </c>
      <c r="J47" s="7" t="s">
        <v>926</v>
      </c>
      <c r="K47" s="7" t="s">
        <v>205</v>
      </c>
    </row>
    <row r="48" spans="1:11" x14ac:dyDescent="0.3">
      <c r="A48" s="6">
        <v>44</v>
      </c>
      <c r="B48" s="6" t="s">
        <v>5201</v>
      </c>
      <c r="C48" s="6" t="s">
        <v>119</v>
      </c>
      <c r="D48" s="6" t="s">
        <v>5109</v>
      </c>
      <c r="E48" s="6" t="s">
        <v>5108</v>
      </c>
      <c r="F48" s="6" t="s">
        <v>5202</v>
      </c>
      <c r="G48" s="6" t="str">
        <f>"7"</f>
        <v>7</v>
      </c>
      <c r="H48" s="6" t="str">
        <f t="shared" si="1"/>
        <v>45100</v>
      </c>
      <c r="I48" s="6" t="s">
        <v>13</v>
      </c>
      <c r="J48" s="6" t="s">
        <v>927</v>
      </c>
      <c r="K48" s="6" t="s">
        <v>43</v>
      </c>
    </row>
    <row r="49" spans="1:11" x14ac:dyDescent="0.3">
      <c r="A49" s="10">
        <v>45</v>
      </c>
      <c r="B49" s="10" t="s">
        <v>5203</v>
      </c>
      <c r="C49" s="10" t="s">
        <v>5204</v>
      </c>
      <c r="D49" s="10" t="s">
        <v>5109</v>
      </c>
      <c r="E49" s="10" t="s">
        <v>5108</v>
      </c>
      <c r="F49" s="10" t="s">
        <v>5205</v>
      </c>
      <c r="G49" s="10" t="str">
        <f>"2"</f>
        <v>2</v>
      </c>
      <c r="H49" s="10" t="str">
        <f t="shared" si="1"/>
        <v>45100</v>
      </c>
      <c r="I49" s="10" t="s">
        <v>13</v>
      </c>
      <c r="J49" s="10" t="s">
        <v>928</v>
      </c>
      <c r="K49" s="10" t="s">
        <v>43</v>
      </c>
    </row>
    <row r="50" spans="1:11" x14ac:dyDescent="0.3">
      <c r="A50" s="7">
        <v>46</v>
      </c>
      <c r="B50" s="7" t="s">
        <v>5203</v>
      </c>
      <c r="C50" s="7" t="s">
        <v>5206</v>
      </c>
      <c r="D50" s="7" t="s">
        <v>5109</v>
      </c>
      <c r="E50" s="7" t="s">
        <v>5108</v>
      </c>
      <c r="F50" s="7" t="s">
        <v>5174</v>
      </c>
      <c r="G50" s="7" t="str">
        <f>"9"</f>
        <v>9</v>
      </c>
      <c r="H50" s="7" t="str">
        <f t="shared" si="1"/>
        <v>45100</v>
      </c>
      <c r="I50" s="7" t="s">
        <v>13</v>
      </c>
      <c r="J50" s="7" t="s">
        <v>926</v>
      </c>
      <c r="K50" s="7" t="s">
        <v>20</v>
      </c>
    </row>
    <row r="51" spans="1:11" x14ac:dyDescent="0.3">
      <c r="A51" s="5">
        <v>47</v>
      </c>
      <c r="B51" s="5" t="s">
        <v>5207</v>
      </c>
      <c r="C51" s="5" t="s">
        <v>5208</v>
      </c>
      <c r="D51" s="5" t="s">
        <v>5109</v>
      </c>
      <c r="E51" s="5" t="s">
        <v>5108</v>
      </c>
      <c r="F51" s="5" t="s">
        <v>5158</v>
      </c>
      <c r="G51" s="5" t="str">
        <f>"1"</f>
        <v>1</v>
      </c>
      <c r="H51" s="5" t="str">
        <f t="shared" si="1"/>
        <v>45100</v>
      </c>
      <c r="I51" s="5" t="s">
        <v>13</v>
      </c>
      <c r="J51" s="5" t="s">
        <v>5116</v>
      </c>
      <c r="K51" s="5" t="s">
        <v>14</v>
      </c>
    </row>
    <row r="52" spans="1:11" x14ac:dyDescent="0.3">
      <c r="A52" s="6">
        <v>48</v>
      </c>
      <c r="B52" s="6" t="s">
        <v>5209</v>
      </c>
      <c r="C52" s="6" t="s">
        <v>3601</v>
      </c>
      <c r="D52" s="6" t="s">
        <v>5109</v>
      </c>
      <c r="E52" s="6" t="s">
        <v>5108</v>
      </c>
      <c r="F52" s="6" t="s">
        <v>455</v>
      </c>
      <c r="G52" s="6" t="str">
        <f>"264/266"</f>
        <v>264/266</v>
      </c>
      <c r="H52" s="6" t="str">
        <f t="shared" si="1"/>
        <v>45100</v>
      </c>
      <c r="I52" s="6" t="s">
        <v>13</v>
      </c>
      <c r="J52" s="6" t="s">
        <v>927</v>
      </c>
      <c r="K52" s="6" t="s">
        <v>3027</v>
      </c>
    </row>
    <row r="53" spans="1:11" x14ac:dyDescent="0.3">
      <c r="A53" s="5">
        <v>49</v>
      </c>
      <c r="B53" s="5" t="s">
        <v>5210</v>
      </c>
      <c r="C53" s="5" t="s">
        <v>5211</v>
      </c>
      <c r="D53" s="5" t="s">
        <v>5109</v>
      </c>
      <c r="E53" s="5" t="s">
        <v>5108</v>
      </c>
      <c r="F53" s="5" t="s">
        <v>5212</v>
      </c>
      <c r="G53" s="5" t="str">
        <f>"30"</f>
        <v>30</v>
      </c>
      <c r="H53" s="5" t="str">
        <f t="shared" si="1"/>
        <v>45100</v>
      </c>
      <c r="I53" s="5" t="s">
        <v>13</v>
      </c>
      <c r="J53" s="5" t="s">
        <v>5116</v>
      </c>
      <c r="K53" s="5" t="s">
        <v>98</v>
      </c>
    </row>
    <row r="54" spans="1:11" x14ac:dyDescent="0.3">
      <c r="A54" s="7">
        <v>50</v>
      </c>
      <c r="B54" s="7" t="s">
        <v>5213</v>
      </c>
      <c r="C54" s="7" t="s">
        <v>5214</v>
      </c>
      <c r="D54" s="7" t="s">
        <v>5109</v>
      </c>
      <c r="E54" s="7" t="s">
        <v>5108</v>
      </c>
      <c r="F54" s="7" t="s">
        <v>5215</v>
      </c>
      <c r="G54" s="7" t="str">
        <f>"38"</f>
        <v>38</v>
      </c>
      <c r="H54" s="7" t="str">
        <f t="shared" si="1"/>
        <v>45100</v>
      </c>
      <c r="I54" s="7" t="s">
        <v>13</v>
      </c>
      <c r="J54" s="7" t="s">
        <v>926</v>
      </c>
      <c r="K54" s="7" t="s">
        <v>14</v>
      </c>
    </row>
    <row r="55" spans="1:11" x14ac:dyDescent="0.3">
      <c r="A55" s="5">
        <v>51</v>
      </c>
      <c r="B55" s="5" t="s">
        <v>5216</v>
      </c>
      <c r="C55" s="5" t="s">
        <v>5217</v>
      </c>
      <c r="D55" s="5" t="s">
        <v>5109</v>
      </c>
      <c r="E55" s="5" t="s">
        <v>5108</v>
      </c>
      <c r="F55" s="5" t="s">
        <v>5218</v>
      </c>
      <c r="G55" s="5" t="str">
        <f>"20"</f>
        <v>20</v>
      </c>
      <c r="H55" s="5" t="str">
        <f t="shared" si="1"/>
        <v>45100</v>
      </c>
      <c r="I55" s="5" t="s">
        <v>13</v>
      </c>
      <c r="J55" s="5" t="s">
        <v>5116</v>
      </c>
      <c r="K55" s="5" t="s">
        <v>43</v>
      </c>
    </row>
    <row r="56" spans="1:11" x14ac:dyDescent="0.3">
      <c r="A56" s="7">
        <v>52</v>
      </c>
      <c r="B56" s="7" t="s">
        <v>5219</v>
      </c>
      <c r="C56" s="7" t="s">
        <v>5220</v>
      </c>
      <c r="D56" s="7" t="s">
        <v>5109</v>
      </c>
      <c r="E56" s="7" t="s">
        <v>5108</v>
      </c>
      <c r="F56" s="7" t="s">
        <v>455</v>
      </c>
      <c r="G56" s="7" t="str">
        <f>"SNC"</f>
        <v>SNC</v>
      </c>
      <c r="H56" s="7" t="str">
        <f t="shared" si="1"/>
        <v>45100</v>
      </c>
      <c r="I56" s="7" t="s">
        <v>13</v>
      </c>
      <c r="J56" s="7" t="s">
        <v>926</v>
      </c>
      <c r="K56" s="7" t="s">
        <v>43</v>
      </c>
    </row>
    <row r="57" spans="1:11" x14ac:dyDescent="0.3">
      <c r="A57" s="6">
        <v>53</v>
      </c>
      <c r="B57" s="6" t="s">
        <v>1000</v>
      </c>
      <c r="C57" s="6" t="s">
        <v>5221</v>
      </c>
      <c r="D57" s="6" t="s">
        <v>5109</v>
      </c>
      <c r="E57" s="6" t="s">
        <v>5108</v>
      </c>
      <c r="F57" s="6" t="s">
        <v>5222</v>
      </c>
      <c r="G57" s="6" t="str">
        <f>"13"</f>
        <v>13</v>
      </c>
      <c r="H57" s="6" t="str">
        <f t="shared" si="1"/>
        <v>45100</v>
      </c>
      <c r="I57" s="6" t="s">
        <v>13</v>
      </c>
      <c r="J57" s="6" t="s">
        <v>927</v>
      </c>
      <c r="K57" s="6" t="s">
        <v>14</v>
      </c>
    </row>
    <row r="58" spans="1:11" x14ac:dyDescent="0.3">
      <c r="A58" s="5">
        <v>54</v>
      </c>
      <c r="B58" s="5" t="s">
        <v>5223</v>
      </c>
      <c r="C58" s="5" t="s">
        <v>5224</v>
      </c>
      <c r="D58" s="5" t="s">
        <v>5109</v>
      </c>
      <c r="E58" s="5" t="s">
        <v>5225</v>
      </c>
      <c r="F58" s="5" t="s">
        <v>5226</v>
      </c>
      <c r="G58" s="5" t="str">
        <f>"1163/A"</f>
        <v>1163/A</v>
      </c>
      <c r="H58" s="5" t="str">
        <f>"45030"</f>
        <v>45030</v>
      </c>
      <c r="I58" s="5" t="s">
        <v>13</v>
      </c>
      <c r="J58" s="5" t="s">
        <v>5116</v>
      </c>
      <c r="K58" s="5" t="s">
        <v>5227</v>
      </c>
    </row>
    <row r="59" spans="1:11" x14ac:dyDescent="0.3">
      <c r="A59" s="7">
        <v>55</v>
      </c>
      <c r="B59" s="7" t="s">
        <v>5228</v>
      </c>
      <c r="C59" s="7" t="s">
        <v>5229</v>
      </c>
      <c r="D59" s="7" t="s">
        <v>5109</v>
      </c>
      <c r="E59" s="7" t="s">
        <v>5230</v>
      </c>
      <c r="F59" s="7" t="s">
        <v>4204</v>
      </c>
      <c r="G59" s="7" t="str">
        <f>"SNC"</f>
        <v>SNC</v>
      </c>
      <c r="H59" s="7" t="str">
        <f>"45019"</f>
        <v>45019</v>
      </c>
      <c r="I59" s="7" t="s">
        <v>13</v>
      </c>
      <c r="J59" s="7" t="s">
        <v>926</v>
      </c>
      <c r="K59" s="7" t="s">
        <v>14</v>
      </c>
    </row>
    <row r="60" spans="1:11" x14ac:dyDescent="0.3">
      <c r="A60" s="5">
        <v>56</v>
      </c>
      <c r="B60" s="5" t="s">
        <v>5231</v>
      </c>
      <c r="C60" s="5" t="s">
        <v>5232</v>
      </c>
      <c r="D60" s="5" t="s">
        <v>5109</v>
      </c>
      <c r="E60" s="5" t="s">
        <v>5233</v>
      </c>
      <c r="F60" s="5" t="s">
        <v>81</v>
      </c>
      <c r="G60" s="5" t="str">
        <f>"371"</f>
        <v>371</v>
      </c>
      <c r="H60" s="5" t="str">
        <f>"45010"</f>
        <v>45010</v>
      </c>
      <c r="I60" s="5" t="s">
        <v>13</v>
      </c>
      <c r="J60" s="5" t="s">
        <v>5116</v>
      </c>
      <c r="K60" s="5" t="s">
        <v>36</v>
      </c>
    </row>
  </sheetData>
  <autoFilter ref="A4:K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PADOVA</vt:lpstr>
      <vt:lpstr>BELLUNO</vt:lpstr>
      <vt:lpstr>VICENZA</vt:lpstr>
      <vt:lpstr>VENEZIA</vt:lpstr>
      <vt:lpstr>VERONA</vt:lpstr>
      <vt:lpstr>TREVISO</vt:lpstr>
      <vt:lpstr>ROVIGO</vt:lpstr>
    </vt:vector>
  </TitlesOfParts>
  <Company>Università degli Studi di Padova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Fornaro Giovanna</dc:creator>
  <cp:lastModifiedBy>frisdan70164</cp:lastModifiedBy>
  <dcterms:created xsi:type="dcterms:W3CDTF">2019-01-18T12:39:43Z</dcterms:created>
  <dcterms:modified xsi:type="dcterms:W3CDTF">2019-01-18T13:50:42Z</dcterms:modified>
</cp:coreProperties>
</file>